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comments6.xml" ContentType="application/vnd.openxmlformats-officedocument.spreadsheetml.comments+xml"/>
  <Override PartName="/xl/comments7.xml" ContentType="application/vnd.openxmlformats-officedocument.spreadsheetml.comments+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persons/person.xml" ContentType="application/vnd.ms-excel.person+xml"/>
  <Override PartName="/xl/threadedComments/threadedComment1.xml" ContentType="application/vnd.ms-excel.threadedcomments+xml"/>
  <Override PartName="/xl/threadedComments/threadedComment2.xml" ContentType="application/vnd.ms-excel.threadedcomments+xml"/>
  <Override PartName="/xl/threadedComments/threadedComment3.xml" ContentType="application/vnd.ms-excel.threadedcomments+xml"/>
  <Override PartName="/xl/threadedComments/threadedComment4.xml" ContentType="application/vnd.ms-excel.threadedcomments+xml"/>
  <Override PartName="/xl/threadedComments/threadedComment5.xml" ContentType="application/vnd.ms-excel.threadedcomment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defaultThemeVersion="166925"/>
  <mc:AlternateContent xmlns:mc="http://schemas.openxmlformats.org/markup-compatibility/2006">
    <mc:Choice Requires="x15">
      <x15ac:absPath xmlns:x15ac="http://schemas.microsoft.com/office/spreadsheetml/2010/11/ac" url="E:\Git\Lectures\2023-UEH-City-Project\"/>
    </mc:Choice>
  </mc:AlternateContent>
  <xr:revisionPtr revIDLastSave="0" documentId="13_ncr:1_{2F9B98F8-038B-4D4F-AE67-70EDCC1EFEDF}" xr6:coauthVersionLast="47" xr6:coauthVersionMax="47" xr10:uidLastSave="{00000000-0000-0000-0000-000000000000}"/>
  <bookViews>
    <workbookView xWindow="-108" yWindow="-108" windowWidth="23256" windowHeight="12456" tabRatio="709" xr2:uid="{B1263013-353A-4172-B925-A816AED05445}"/>
  </bookViews>
  <sheets>
    <sheet name="MCDA (EB versus OA)" sheetId="34" r:id="rId1"/>
    <sheet name="MCDA v2" sheetId="32" r:id="rId2"/>
    <sheet name="MCDAv1-FebMPR" sheetId="13" state="hidden" r:id="rId3"/>
    <sheet name="MCDA v0" sheetId="7" state="hidden" r:id="rId4"/>
    <sheet name="for MPR3 " sheetId="14" state="hidden" r:id="rId5"/>
    <sheet name="Geohazard" sheetId="12" r:id="rId6"/>
    <sheet name="Construction Duration -&gt;" sheetId="29" r:id="rId7"/>
    <sheet name="Lanes" sheetId="16" state="hidden" r:id="rId8"/>
    <sheet name="TR-OC-TUN-SUMMARY" sheetId="28" state="hidden" r:id="rId9"/>
    <sheet name="Constr. Dur v2" sheetId="33" r:id="rId10"/>
    <sheet name="Constr. Dur v1" sheetId="25" state="hidden" r:id="rId11"/>
    <sheet name="Constr. Dur v0" sheetId="22" state="hidden" r:id="rId12"/>
    <sheet name="Ref-OpenCut (Source-Teresa)" sheetId="23" r:id="rId13"/>
  </sheets>
  <externalReferences>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s>
  <definedNames>
    <definedName name="\a">#N/A</definedName>
    <definedName name="\p">#N/A</definedName>
    <definedName name="\q">#N/A</definedName>
    <definedName name="_">#N/A</definedName>
    <definedName name="__MS1">#N/A</definedName>
    <definedName name="_dev1">'[1]Land Dev''t. Ph-1'!$D$107</definedName>
    <definedName name="_ewr2">'[2]Land Dev''t. Ph-1'!$D$47</definedName>
    <definedName name="_ewr3">'[2]Land Dev''t. Ph-1'!$D$63</definedName>
    <definedName name="_Fill" hidden="1">#N/A</definedName>
    <definedName name="_xlnm._FilterDatabase" localSheetId="10" hidden="1">'Constr. Dur v1'!$A$2:$D$7</definedName>
    <definedName name="_xlnm._FilterDatabase" localSheetId="9" hidden="1">'Constr. Dur v2'!$A$2:$D$7</definedName>
    <definedName name="_Regression_Int" hidden="1">1</definedName>
    <definedName name="_Sort">#N/A</definedName>
    <definedName name="_sw1">'[2]Land Dev''t. Ph-1'!$D$25</definedName>
    <definedName name="_sw2">'[2]Land Dev''t. Ph-1'!$D$44</definedName>
    <definedName name="_sw3">'[2]Land Dev''t. Ph-1'!$D$60</definedName>
    <definedName name="_tar1">#N/A</definedName>
    <definedName name="A">#N/A</definedName>
    <definedName name="AC">#N/A</definedName>
    <definedName name="B">#N/A</definedName>
    <definedName name="bc">'[1]Land Dev''t. Ph-1'!$D$38</definedName>
    <definedName name="bd">'[1]Land Dev''t. Ph-1'!$D$15</definedName>
    <definedName name="block">'[2]Land Dev''t. Ph-1'!$D$31</definedName>
    <definedName name="cabinet">#N/A</definedName>
    <definedName name="CAR">#N/A</definedName>
    <definedName name="CARI">#N/A</definedName>
    <definedName name="CityIndex">#N/A</definedName>
    <definedName name="CODE">#N/A</definedName>
    <definedName name="Cont">#N/A</definedName>
    <definedName name="cra">[3]Subgrade!$X$12</definedName>
    <definedName name="crane">'[1]Land Dev''t. Ph-1'!$D$50</definedName>
    <definedName name="CS">'[2]4-Lane bridge'!$D$30</definedName>
    <definedName name="CW">#N/A</definedName>
    <definedName name="D">#N/A</definedName>
    <definedName name="D00R101">#N/A</definedName>
    <definedName name="D00R102">#N/A</definedName>
    <definedName name="D00R103">#N/A</definedName>
    <definedName name="D00R104">#N/A</definedName>
    <definedName name="D00R105">#N/A</definedName>
    <definedName name="D00R106">#N/A</definedName>
    <definedName name="D00R107">#N/A</definedName>
    <definedName name="D00R108">#N/A</definedName>
    <definedName name="D00R109">#N/A</definedName>
    <definedName name="D00R110">#N/A</definedName>
    <definedName name="D00R111">#N/A</definedName>
    <definedName name="D00R112">#N/A</definedName>
    <definedName name="D00R113">#N/A</definedName>
    <definedName name="D00R114">#N/A</definedName>
    <definedName name="D00R115">#N/A</definedName>
    <definedName name="D00R116">#N/A</definedName>
    <definedName name="D00R117">#N/A</definedName>
    <definedName name="D00R118">#N/A</definedName>
    <definedName name="D00R119">#N/A</definedName>
    <definedName name="D00R120">#N/A</definedName>
    <definedName name="D00R121">#N/A</definedName>
    <definedName name="D00R122">#N/A</definedName>
    <definedName name="D00R124">#N/A</definedName>
    <definedName name="D00R125">#N/A</definedName>
    <definedName name="D00R126">#N/A</definedName>
    <definedName name="D00R127">#N/A</definedName>
    <definedName name="D00R128">#N/A</definedName>
    <definedName name="D00R129">#N/A</definedName>
    <definedName name="D00R130">#N/A</definedName>
    <definedName name="D00R131">#N/A</definedName>
    <definedName name="D00R132">#N/A</definedName>
    <definedName name="D00R133">#N/A</definedName>
    <definedName name="D00R134">#N/A</definedName>
    <definedName name="D00R135">#N/A</definedName>
    <definedName name="D00R136">#N/A</definedName>
    <definedName name="D00R137">#N/A</definedName>
    <definedName name="D00R138">#N/A</definedName>
    <definedName name="D00R139">#N/A</definedName>
    <definedName name="D00R140">#N/A</definedName>
    <definedName name="dailyrate">#N/A</definedName>
    <definedName name="dailyrates">#N/A</definedName>
    <definedName name="dasda">#N/A</definedName>
    <definedName name="DBST">#N/A</definedName>
    <definedName name="dev">'[1]Land Dev''t. Ph-1'!$D$84</definedName>
    <definedName name="DOOR140">#N/A</definedName>
    <definedName name="DOOR201">#N/A</definedName>
    <definedName name="DOOR202">#N/A</definedName>
    <definedName name="DOOR203">#N/A</definedName>
    <definedName name="DOOR204">#N/A</definedName>
    <definedName name="DOOR205">#N/A</definedName>
    <definedName name="DOOR206">#N/A</definedName>
    <definedName name="DOOR207">#N/A</definedName>
    <definedName name="DOOR208">#N/A</definedName>
    <definedName name="DOOR209">#N/A</definedName>
    <definedName name="DOOR210">#N/A</definedName>
    <definedName name="DOOR211">#N/A</definedName>
    <definedName name="drain">'[2]Land Dev''t. Ph-1'!$D$40</definedName>
    <definedName name="drain1">'[2]Land Dev''t. Ph-1'!$D$56</definedName>
    <definedName name="drain2">'[2]Land Dev''t. Ph-1'!$D$72</definedName>
    <definedName name="drs">#N/A</definedName>
    <definedName name="ds">'[2]Land Dev''t. Ph-1'!$D$21</definedName>
    <definedName name="EARTH">'[2]4-Lane bridge'!$D$13</definedName>
    <definedName name="EEQ">[4]markup!#REF!</definedName>
    <definedName name="EMUP">[4]markup!$C$6</definedName>
    <definedName name="eq_disc">'[3]Existing PC Pavement'!$X$1</definedName>
    <definedName name="equip_disc">#N/A</definedName>
    <definedName name="ew">'[2]Land Dev''t. Ph-1'!$D$12</definedName>
    <definedName name="ewb">'[1]Land Dev''t. Ph-1'!$D$35</definedName>
    <definedName name="ewr">'[2]Land Dev''t. Ph-1'!$D$28</definedName>
    <definedName name="exc">#N/A</definedName>
    <definedName name="excav">#N/A</definedName>
    <definedName name="Excavation3">#N/A</definedName>
    <definedName name="F">#N/A</definedName>
    <definedName name="FC">#N/A</definedName>
    <definedName name="Fl.">#N/A</definedName>
    <definedName name="flbd">#N/A</definedName>
    <definedName name="flds">#N/A</definedName>
    <definedName name="fler">#N/A</definedName>
    <definedName name="flp">#N/A</definedName>
    <definedName name="flrrow">#N/A</definedName>
    <definedName name="flsw">#N/A</definedName>
    <definedName name="flws">#N/A</definedName>
    <definedName name="FORM">[5]LIBRARY!#REF!</definedName>
    <definedName name="G">#N/A</definedName>
    <definedName name="Gra.">#N/A</definedName>
    <definedName name="hlbd">#N/A</definedName>
    <definedName name="hlds">[2]Hac.Lots!$D$22</definedName>
    <definedName name="hler">[2]Hac.Lots!$D$13</definedName>
    <definedName name="hlp">#N/A</definedName>
    <definedName name="hlrrow">[2]Hac.Lots!$D$16</definedName>
    <definedName name="hlsw">[2]Hac.Lots!$D$10</definedName>
    <definedName name="hltc">[2]Hac.Lots!$D$25</definedName>
    <definedName name="hlws">[2]Hac.Lots!$D$19</definedName>
    <definedName name="L">#N/A</definedName>
    <definedName name="lab_disc">#N/A</definedName>
    <definedName name="LC">#N/A</definedName>
    <definedName name="LMUP">[6]markup!$C$7</definedName>
    <definedName name="luz">#N/A</definedName>
    <definedName name="M">#N/A</definedName>
    <definedName name="mark">#N/A</definedName>
    <definedName name="mark_up">#N/A</definedName>
    <definedName name="mat_disc">#N/A</definedName>
    <definedName name="MMUP">[4]markup!$C$5</definedName>
    <definedName name="N">#N/A</definedName>
    <definedName name="none">#N/A</definedName>
    <definedName name="ob">'[1]Land Dev''t. Ph-1'!$D$47</definedName>
    <definedName name="OCM">[6]markup!$C$9</definedName>
    <definedName name="OCN">[7]markup!$C$9</definedName>
    <definedName name="OCPM">#N/A</definedName>
    <definedName name="OHP">[8]UPASum!#REF!</definedName>
    <definedName name="OPCM">[9]SUMMARY!$O$9</definedName>
    <definedName name="OTHERS">'[2]4-Lane bridge'!$D$39</definedName>
    <definedName name="PCC">#N/A</definedName>
    <definedName name="PCP">'[2]4-Lane bridge'!$D$27</definedName>
    <definedName name="PCS">'[2]4-Lane bridge'!$D$24</definedName>
    <definedName name="POST">'[2]4-Lane bridge'!$D$18</definedName>
    <definedName name="PRE">'[2]4-Lane bridge'!$D$10</definedName>
    <definedName name="prelib">'[1]Land Dev''t. Ph-1'!$D$32</definedName>
    <definedName name="prelih">'[1]Land Dev''t. Ph-1'!$D$96</definedName>
    <definedName name="prelim">'[1]Land Dev''t. Ph-1'!$D$27</definedName>
    <definedName name="prelimf">'[1]Land Dev''t. Ph-1'!$D$119</definedName>
    <definedName name="preliv">'[1]Land Dev''t. Ph-1'!$D$73</definedName>
    <definedName name="_xlnm.Print_Area" localSheetId="10">'Constr. Dur v1'!$A$1:$O$48</definedName>
    <definedName name="_xlnm.Print_Area" localSheetId="9">'Constr. Dur v2'!$A$1:$V$47</definedName>
    <definedName name="_xlnm.Print_Area" localSheetId="5">Geohazard!$A$1:$N$165</definedName>
    <definedName name="_xlnm.Print_Area">#N/A</definedName>
    <definedName name="PRINT_AREA_MI">#N/A</definedName>
    <definedName name="_xlnm.Print_Titles">#N/A</definedName>
    <definedName name="PRINT_TITLES_MI">#N/A</definedName>
    <definedName name="PROF">[7]markup!$C$10</definedName>
    <definedName name="Profit">#N/A</definedName>
    <definedName name="RATE">[8]UPASum!#REF!</definedName>
    <definedName name="REINF">'[2]4-Lane bridge'!$D$21</definedName>
    <definedName name="rlbd">'[2]Res.Lots'!$D$16</definedName>
    <definedName name="rlds">'[2]Res.Lots'!$D$25</definedName>
    <definedName name="rler">'[2]Res.Lots'!$D$13</definedName>
    <definedName name="rlp">#N/A</definedName>
    <definedName name="rlrrow">'[2]Res.Lots'!$D$19</definedName>
    <definedName name="rlsw">'[2]Res.Lots'!$D$10</definedName>
    <definedName name="rlws">'[2]Res.Lots'!$D$22</definedName>
    <definedName name="rrow">'[2]Land Dev''t. Ph-1'!$D$15</definedName>
    <definedName name="rrow1">'[2]Land Dev''t. Ph-1'!$D$34</definedName>
    <definedName name="rrow2">'[2]Land Dev''t. Ph-1'!$D$50</definedName>
    <definedName name="rrow3">'[2]Land Dev''t. Ph-1'!$D$66</definedName>
    <definedName name="slp">'[1]Land Dev''t. Ph-1'!$D$41</definedName>
    <definedName name="SP">'[2]4-Lane bridge'!$D$33</definedName>
    <definedName name="spbd">#N/A</definedName>
    <definedName name="spds">#N/A</definedName>
    <definedName name="spds2">'[2]Spine Road'!$D$28</definedName>
    <definedName name="spds3">'[2]Spine Road'!$D$28</definedName>
    <definedName name="spdss">'[2]Spine Road'!$D$28</definedName>
    <definedName name="sper">#N/A</definedName>
    <definedName name="sper3">'[2]Spine Road'!$D$13</definedName>
    <definedName name="sperr">'[2]Spine Road'!$D$13</definedName>
    <definedName name="SPOTLABOR">#N/A</definedName>
    <definedName name="SPOTMATERIAL">#N/A</definedName>
    <definedName name="sppl">#N/A</definedName>
    <definedName name="sprrow">#N/A</definedName>
    <definedName name="sprrow3">'[2]Spine Road'!$D$19</definedName>
    <definedName name="spsw">#N/A</definedName>
    <definedName name="sptc">#N/A</definedName>
    <definedName name="sptc2">'[2]Spine Road'!$C$31</definedName>
    <definedName name="sptc3">'[2]Spine Road'!$C$31</definedName>
    <definedName name="spws">#N/A</definedName>
    <definedName name="spwss">'[2]Spine Road'!$D$22</definedName>
    <definedName name="struc.excav">#N/A</definedName>
    <definedName name="Structure.Excav2">#N/A</definedName>
    <definedName name="SUM">#N/A</definedName>
    <definedName name="sw">'[2]Land Dev''t. Ph-1'!$D$9</definedName>
    <definedName name="SWALK">'[2]4-Lane bridge'!$D$36</definedName>
    <definedName name="swb">'[1]Land Dev''t. Ph-1'!$D$44</definedName>
    <definedName name="TAR">#N/A</definedName>
    <definedName name="TC">#N/A</definedName>
    <definedName name="tcf">#N/A</definedName>
    <definedName name="tcs">#N/A</definedName>
    <definedName name="tcv">#N/A</definedName>
    <definedName name="tdc">#N/A</definedName>
    <definedName name="tdcv">#N/A</definedName>
    <definedName name="TOTAL">#N/A</definedName>
    <definedName name="U">#N/A</definedName>
    <definedName name="UPASum.Finishing">#N/A</definedName>
    <definedName name="us">'[6]1'!$V$13</definedName>
    <definedName name="VAT">#N/A</definedName>
    <definedName name="VT">[7]markup!$C$11</definedName>
    <definedName name="wage_scale10">[10]Rates!$B$13</definedName>
    <definedName name="wage_scale3">[10]Rates!$B$6</definedName>
    <definedName name="wage_scale6">[10]Rates!$B$9</definedName>
    <definedName name="wage_scale7">[10]Rates!$B$10</definedName>
    <definedName name="wage_scale8">[10]Rates!$B$11</definedName>
    <definedName name="water">'[2]Land Dev''t. Ph-1'!$D$37</definedName>
    <definedName name="water1">'[2]Land Dev''t. Ph-1'!$D$53</definedName>
    <definedName name="water2">'[2]Land Dev''t. Ph-1'!$D$69</definedName>
    <definedName name="Window2A">#N/A</definedName>
    <definedName name="Window2A1">#N/A</definedName>
    <definedName name="Window2B">#N/A</definedName>
    <definedName name="Window2B1">#N/A</definedName>
    <definedName name="Window2C">#N/A</definedName>
    <definedName name="Window2C1">#N/A</definedName>
    <definedName name="Window2D">#N/A</definedName>
    <definedName name="Window2D1">#N/A</definedName>
    <definedName name="Window2E">#N/A</definedName>
    <definedName name="Window2E1">#N/A</definedName>
    <definedName name="Window2F">#N/A</definedName>
    <definedName name="Window2G">#N/A</definedName>
    <definedName name="Window2H">#N/A</definedName>
    <definedName name="Window2J">#N/A</definedName>
    <definedName name="Window2K">#N/A</definedName>
    <definedName name="Window2L">#N/A</definedName>
    <definedName name="Window2M">#N/A</definedName>
    <definedName name="Window2N">#N/A</definedName>
    <definedName name="Window2P">#N/A</definedName>
    <definedName name="Window2Q">#N/A</definedName>
    <definedName name="Window2R">#N/A</definedName>
    <definedName name="Window2S">#N/A</definedName>
    <definedName name="Window2T">#N/A</definedName>
    <definedName name="Window2U">#N/A</definedName>
    <definedName name="Window2V">#N/A</definedName>
    <definedName name="Window2W">#N/A</definedName>
    <definedName name="Window2X">#N/A</definedName>
    <definedName name="Window2Y">#N/A</definedName>
    <definedName name="Window2Z">#N/A</definedName>
    <definedName name="WindowA">#N/A</definedName>
    <definedName name="WindowA1">#N/A</definedName>
    <definedName name="WindowB">#N/A</definedName>
    <definedName name="WindowB1">#N/A</definedName>
    <definedName name="WindowC">#N/A</definedName>
    <definedName name="WindowC1">#N/A</definedName>
    <definedName name="WindowD">#N/A</definedName>
    <definedName name="WindowD1">#N/A</definedName>
    <definedName name="WindowE">#N/A</definedName>
    <definedName name="WindowE1">#N/A</definedName>
    <definedName name="WindowF">#N/A</definedName>
    <definedName name="WindowG">#N/A</definedName>
    <definedName name="WindowH">#N/A</definedName>
    <definedName name="WindowJ">#N/A</definedName>
    <definedName name="WindowK">#N/A</definedName>
    <definedName name="WindowL">#N/A</definedName>
    <definedName name="WindowM">#N/A</definedName>
    <definedName name="WindowN">#N/A</definedName>
    <definedName name="WindowP">#N/A</definedName>
    <definedName name="WindowQ">#N/A</definedName>
    <definedName name="WindowT">#N/A</definedName>
    <definedName name="WindowU">#N/A</definedName>
    <definedName name="WindowV">#N/A</definedName>
    <definedName name="WindowW">#N/A</definedName>
    <definedName name="WindowX">#N/A</definedName>
    <definedName name="WindowY">#N/A</definedName>
    <definedName name="WindowZ">#N/A</definedName>
    <definedName name="ws">'[2]Land Dev''t. Ph-1'!$D$18</definedName>
    <definedName name="X">#N/A</definedName>
    <definedName name="Z">#N/A</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34" i="34" l="1"/>
  <c r="D31" i="34"/>
  <c r="AE35" i="34"/>
  <c r="F35" i="34"/>
  <c r="D35" i="34"/>
  <c r="AE34" i="34"/>
  <c r="M34" i="34"/>
  <c r="D34" i="34"/>
  <c r="AE33" i="34"/>
  <c r="F33" i="34"/>
  <c r="D33" i="34"/>
  <c r="AE32" i="34"/>
  <c r="F32" i="34"/>
  <c r="D32" i="34"/>
  <c r="AE31" i="34"/>
  <c r="F31" i="34"/>
  <c r="AE30" i="34"/>
  <c r="F30" i="34"/>
  <c r="D30" i="34"/>
  <c r="AE29" i="34"/>
  <c r="F29" i="34"/>
  <c r="D29" i="34"/>
  <c r="AE28" i="34"/>
  <c r="F28" i="34"/>
  <c r="D28" i="34"/>
  <c r="AE27" i="34"/>
  <c r="F27" i="34"/>
  <c r="D27" i="34"/>
  <c r="AE26" i="34"/>
  <c r="F26" i="34"/>
  <c r="D26" i="34"/>
  <c r="AE14" i="34"/>
  <c r="J14" i="34"/>
  <c r="H14" i="34"/>
  <c r="F14" i="34"/>
  <c r="D14" i="34"/>
  <c r="AE13" i="34"/>
  <c r="M13" i="34"/>
  <c r="J13" i="34"/>
  <c r="H13" i="34"/>
  <c r="F13" i="34"/>
  <c r="D13" i="34"/>
  <c r="AE12" i="34"/>
  <c r="J12" i="34"/>
  <c r="H12" i="34"/>
  <c r="F12" i="34"/>
  <c r="D12" i="34"/>
  <c r="AE11" i="34"/>
  <c r="J11" i="34"/>
  <c r="H11" i="34"/>
  <c r="F11" i="34"/>
  <c r="D11" i="34"/>
  <c r="AE10" i="34"/>
  <c r="J10" i="34"/>
  <c r="H10" i="34"/>
  <c r="F10" i="34"/>
  <c r="D10" i="34"/>
  <c r="AE9" i="34"/>
  <c r="J9" i="34"/>
  <c r="H9" i="34"/>
  <c r="F9" i="34"/>
  <c r="D9" i="34"/>
  <c r="AE8" i="34"/>
  <c r="J8" i="34"/>
  <c r="H8" i="34"/>
  <c r="F8" i="34"/>
  <c r="D8" i="34"/>
  <c r="AE7" i="34"/>
  <c r="J7" i="34"/>
  <c r="H7" i="34"/>
  <c r="F7" i="34"/>
  <c r="D7" i="34"/>
  <c r="AE6" i="34"/>
  <c r="H6" i="34"/>
  <c r="F6" i="34"/>
  <c r="D6" i="34"/>
  <c r="AE5" i="34"/>
  <c r="J5" i="34"/>
  <c r="H5" i="34"/>
  <c r="F5" i="34"/>
  <c r="F16" i="34" s="1"/>
  <c r="D5" i="34"/>
  <c r="D16" i="34" s="1"/>
  <c r="U26" i="33"/>
  <c r="U15" i="33"/>
  <c r="U7" i="33"/>
  <c r="U25" i="33"/>
  <c r="U24" i="33"/>
  <c r="U23" i="33"/>
  <c r="U14" i="33"/>
  <c r="U13" i="33"/>
  <c r="U12" i="33"/>
  <c r="U6" i="33"/>
  <c r="U5" i="33"/>
  <c r="U4" i="33"/>
  <c r="F37" i="34" l="1"/>
  <c r="H16" i="34"/>
  <c r="J16" i="34"/>
  <c r="D37" i="34"/>
  <c r="AE15" i="34"/>
  <c r="AF11" i="34" s="1"/>
  <c r="N11" i="34" s="1"/>
  <c r="C11" i="34" s="1"/>
  <c r="AE36" i="34"/>
  <c r="S40" i="33"/>
  <c r="N45" i="33"/>
  <c r="M45" i="33"/>
  <c r="N44" i="33"/>
  <c r="M44" i="33"/>
  <c r="N43" i="33"/>
  <c r="M43" i="33"/>
  <c r="N42" i="33"/>
  <c r="M42" i="33"/>
  <c r="N41" i="33"/>
  <c r="M41" i="33"/>
  <c r="N36" i="33"/>
  <c r="M36" i="33"/>
  <c r="N35" i="33"/>
  <c r="M35" i="33"/>
  <c r="N33" i="33"/>
  <c r="M33" i="33"/>
  <c r="N34" i="33"/>
  <c r="M34" i="33"/>
  <c r="N32" i="33"/>
  <c r="M32" i="33"/>
  <c r="K18" i="23"/>
  <c r="Y4" i="33"/>
  <c r="N8" i="33" s="1"/>
  <c r="O34" i="33" s="1"/>
  <c r="AE35" i="32"/>
  <c r="F35" i="32"/>
  <c r="D35" i="32"/>
  <c r="AE34" i="32"/>
  <c r="AF34" i="32" s="1"/>
  <c r="N34" i="32" s="1"/>
  <c r="C34" i="32" s="1"/>
  <c r="M34" i="32"/>
  <c r="F34" i="32"/>
  <c r="D34" i="32"/>
  <c r="AE33" i="32"/>
  <c r="AF33" i="32" s="1"/>
  <c r="N33" i="32" s="1"/>
  <c r="C33" i="32" s="1"/>
  <c r="F33" i="32"/>
  <c r="D33" i="32"/>
  <c r="AE32" i="32"/>
  <c r="AF32" i="32" s="1"/>
  <c r="N32" i="32" s="1"/>
  <c r="C32" i="32" s="1"/>
  <c r="F32" i="32"/>
  <c r="D32" i="32"/>
  <c r="AE31" i="32"/>
  <c r="F31" i="32"/>
  <c r="D31" i="32"/>
  <c r="AE30" i="32"/>
  <c r="F30" i="32"/>
  <c r="D30" i="32"/>
  <c r="AE29" i="32"/>
  <c r="AF29" i="32" s="1"/>
  <c r="N29" i="32" s="1"/>
  <c r="C29" i="32" s="1"/>
  <c r="F29" i="32"/>
  <c r="D29" i="32"/>
  <c r="AE28" i="32"/>
  <c r="AF28" i="32" s="1"/>
  <c r="N28" i="32" s="1"/>
  <c r="C28" i="32" s="1"/>
  <c r="F28" i="32"/>
  <c r="D28" i="32"/>
  <c r="AE27" i="32"/>
  <c r="F27" i="32"/>
  <c r="D27" i="32"/>
  <c r="AE26" i="32"/>
  <c r="AE36" i="32" s="1"/>
  <c r="F26" i="32"/>
  <c r="F37" i="32" s="1"/>
  <c r="D26" i="32"/>
  <c r="AE15" i="32"/>
  <c r="AF31" i="32" s="1"/>
  <c r="N31" i="32" s="1"/>
  <c r="C31" i="32" s="1"/>
  <c r="AE14" i="32"/>
  <c r="J14" i="32"/>
  <c r="H14" i="32"/>
  <c r="F14" i="32"/>
  <c r="D14" i="32"/>
  <c r="AE13" i="32"/>
  <c r="M13" i="32"/>
  <c r="J13" i="32"/>
  <c r="H13" i="32"/>
  <c r="F13" i="32"/>
  <c r="D13" i="32"/>
  <c r="AE12" i="32"/>
  <c r="AF12" i="32" s="1"/>
  <c r="N12" i="32" s="1"/>
  <c r="C12" i="32" s="1"/>
  <c r="J12" i="32"/>
  <c r="H12" i="32"/>
  <c r="F12" i="32"/>
  <c r="D12" i="32"/>
  <c r="AE11" i="32"/>
  <c r="AF11" i="32" s="1"/>
  <c r="N11" i="32" s="1"/>
  <c r="C11" i="32" s="1"/>
  <c r="J11" i="32"/>
  <c r="H11" i="32"/>
  <c r="F11" i="32"/>
  <c r="D11" i="32"/>
  <c r="AE10" i="32"/>
  <c r="AF10" i="32" s="1"/>
  <c r="N10" i="32" s="1"/>
  <c r="C10" i="32" s="1"/>
  <c r="J10" i="32"/>
  <c r="H10" i="32"/>
  <c r="F10" i="32"/>
  <c r="D10" i="32"/>
  <c r="AE9" i="32"/>
  <c r="AF9" i="32" s="1"/>
  <c r="N9" i="32" s="1"/>
  <c r="C9" i="32" s="1"/>
  <c r="J9" i="32"/>
  <c r="H9" i="32"/>
  <c r="F9" i="32"/>
  <c r="D9" i="32"/>
  <c r="AE8" i="32"/>
  <c r="AF8" i="32" s="1"/>
  <c r="N8" i="32" s="1"/>
  <c r="C8" i="32" s="1"/>
  <c r="J8" i="32"/>
  <c r="H8" i="32"/>
  <c r="F8" i="32"/>
  <c r="D8" i="32"/>
  <c r="AE7" i="32"/>
  <c r="AF7" i="32" s="1"/>
  <c r="N7" i="32" s="1"/>
  <c r="C7" i="32" s="1"/>
  <c r="J7" i="32"/>
  <c r="H7" i="32"/>
  <c r="F7" i="32"/>
  <c r="D7" i="32"/>
  <c r="AE6" i="32"/>
  <c r="AF6" i="32" s="1"/>
  <c r="N6" i="32" s="1"/>
  <c r="C6" i="32" s="1"/>
  <c r="H6" i="32"/>
  <c r="F6" i="32"/>
  <c r="D6" i="32"/>
  <c r="AE5" i="32"/>
  <c r="J5" i="32"/>
  <c r="H5" i="32"/>
  <c r="F5" i="32"/>
  <c r="D5" i="32"/>
  <c r="E32" i="28"/>
  <c r="E31" i="28"/>
  <c r="E27" i="28"/>
  <c r="E26" i="28"/>
  <c r="E23" i="28"/>
  <c r="E22" i="28"/>
  <c r="E21" i="28"/>
  <c r="E20" i="28"/>
  <c r="E19" i="28"/>
  <c r="E18" i="28"/>
  <c r="E17" i="28"/>
  <c r="Q16" i="28"/>
  <c r="P16" i="28"/>
  <c r="O16" i="28"/>
  <c r="N16" i="28"/>
  <c r="M16" i="28"/>
  <c r="E16" i="28"/>
  <c r="Q15" i="28"/>
  <c r="P15" i="28"/>
  <c r="O15" i="28"/>
  <c r="N15" i="28"/>
  <c r="M15" i="28"/>
  <c r="L15" i="28"/>
  <c r="E15" i="28"/>
  <c r="Q14" i="28"/>
  <c r="P14" i="28"/>
  <c r="O14" i="28"/>
  <c r="N14" i="28"/>
  <c r="M14" i="28"/>
  <c r="L14" i="28"/>
  <c r="E14" i="28"/>
  <c r="Q13" i="28"/>
  <c r="P13" i="28"/>
  <c r="O13" i="28"/>
  <c r="N13" i="28"/>
  <c r="M13" i="28"/>
  <c r="L13" i="28"/>
  <c r="E13" i="28"/>
  <c r="Q12" i="28"/>
  <c r="P12" i="28"/>
  <c r="O12" i="28"/>
  <c r="N12" i="28"/>
  <c r="M12" i="28"/>
  <c r="L12" i="28"/>
  <c r="E12" i="28"/>
  <c r="Q11" i="28"/>
  <c r="P11" i="28"/>
  <c r="O11" i="28"/>
  <c r="N11" i="28"/>
  <c r="M11" i="28"/>
  <c r="L11" i="28"/>
  <c r="E11" i="28"/>
  <c r="N10" i="28" s="1"/>
  <c r="Q10" i="28"/>
  <c r="P10" i="28"/>
  <c r="O10" i="28"/>
  <c r="E10" i="28"/>
  <c r="Q9" i="28"/>
  <c r="P9" i="28"/>
  <c r="O9" i="28"/>
  <c r="N9" i="28"/>
  <c r="M9" i="28"/>
  <c r="L9" i="28"/>
  <c r="E9" i="28"/>
  <c r="Q8" i="28"/>
  <c r="P8" i="28"/>
  <c r="O8" i="28"/>
  <c r="N8" i="28"/>
  <c r="M8" i="28"/>
  <c r="L8" i="28"/>
  <c r="E8" i="28"/>
  <c r="Q7" i="28"/>
  <c r="P7" i="28"/>
  <c r="O7" i="28"/>
  <c r="N7" i="28"/>
  <c r="M7" i="28"/>
  <c r="L7" i="28"/>
  <c r="E7" i="28"/>
  <c r="M10" i="28" s="1"/>
  <c r="Q6" i="28"/>
  <c r="P6" i="28"/>
  <c r="O6" i="28"/>
  <c r="N6" i="28"/>
  <c r="M6" i="28"/>
  <c r="L6" i="28"/>
  <c r="E6" i="28"/>
  <c r="Q5" i="28"/>
  <c r="P5" i="28"/>
  <c r="O5" i="28"/>
  <c r="N5" i="28"/>
  <c r="M5" i="28"/>
  <c r="L5" i="28"/>
  <c r="E5" i="28"/>
  <c r="L10" i="28" s="1"/>
  <c r="Q4" i="28"/>
  <c r="P4" i="28"/>
  <c r="O4" i="28"/>
  <c r="N4" i="28"/>
  <c r="M4" i="28"/>
  <c r="L4" i="28"/>
  <c r="E4" i="28"/>
  <c r="L3" i="28" s="1"/>
  <c r="Q3" i="28"/>
  <c r="P3" i="28"/>
  <c r="O3" i="28"/>
  <c r="N3" i="28"/>
  <c r="E3" i="28"/>
  <c r="L16" i="28" s="1"/>
  <c r="Q2" i="28"/>
  <c r="P2" i="28"/>
  <c r="O2" i="28"/>
  <c r="N2" i="28"/>
  <c r="M2" i="28"/>
  <c r="E2" i="28"/>
  <c r="L2" i="28" s="1"/>
  <c r="L17" i="28" s="1"/>
  <c r="X8" i="23"/>
  <c r="W8" i="23"/>
  <c r="V8" i="23"/>
  <c r="U8" i="23"/>
  <c r="T8" i="23"/>
  <c r="S8" i="23"/>
  <c r="R8" i="23"/>
  <c r="K10" i="23"/>
  <c r="I3" i="25"/>
  <c r="H3" i="25"/>
  <c r="N23" i="23"/>
  <c r="M23" i="23"/>
  <c r="C15" i="23"/>
  <c r="AF7" i="34" l="1"/>
  <c r="N7" i="34" s="1"/>
  <c r="C7" i="34" s="1"/>
  <c r="AF28" i="34"/>
  <c r="N28" i="34" s="1"/>
  <c r="C28" i="34" s="1"/>
  <c r="AF29" i="34"/>
  <c r="N29" i="34" s="1"/>
  <c r="C29" i="34" s="1"/>
  <c r="AF10" i="34"/>
  <c r="N10" i="34" s="1"/>
  <c r="C10" i="34" s="1"/>
  <c r="AF33" i="34"/>
  <c r="N33" i="34" s="1"/>
  <c r="C33" i="34" s="1"/>
  <c r="AF6" i="34"/>
  <c r="N6" i="34" s="1"/>
  <c r="C6" i="34" s="1"/>
  <c r="AF12" i="34"/>
  <c r="N12" i="34" s="1"/>
  <c r="C12" i="34" s="1"/>
  <c r="AF27" i="34"/>
  <c r="N27" i="34" s="1"/>
  <c r="C27" i="34" s="1"/>
  <c r="AF13" i="34"/>
  <c r="N13" i="34" s="1"/>
  <c r="C13" i="34" s="1"/>
  <c r="AF5" i="34"/>
  <c r="AF31" i="34"/>
  <c r="N31" i="34" s="1"/>
  <c r="C31" i="34" s="1"/>
  <c r="AF14" i="34"/>
  <c r="N14" i="34" s="1"/>
  <c r="C14" i="34" s="1"/>
  <c r="AF34" i="34"/>
  <c r="N34" i="34" s="1"/>
  <c r="C34" i="34" s="1"/>
  <c r="AF32" i="34"/>
  <c r="N32" i="34" s="1"/>
  <c r="C32" i="34" s="1"/>
  <c r="AF8" i="34"/>
  <c r="N8" i="34" s="1"/>
  <c r="C8" i="34" s="1"/>
  <c r="AF26" i="34"/>
  <c r="AF9" i="34"/>
  <c r="N9" i="34" s="1"/>
  <c r="C9" i="34" s="1"/>
  <c r="AF30" i="34"/>
  <c r="N30" i="34" s="1"/>
  <c r="C30" i="34" s="1"/>
  <c r="AF35" i="34"/>
  <c r="N35" i="34" s="1"/>
  <c r="C35" i="34" s="1"/>
  <c r="D16" i="32"/>
  <c r="N28" i="33"/>
  <c r="O45" i="33" s="1"/>
  <c r="O27" i="33"/>
  <c r="P44" i="33" s="1"/>
  <c r="O28" i="33"/>
  <c r="P45" i="33" s="1"/>
  <c r="N27" i="33"/>
  <c r="N15" i="33"/>
  <c r="O41" i="33" s="1"/>
  <c r="N16" i="33"/>
  <c r="O42" i="33" s="1"/>
  <c r="N17" i="33"/>
  <c r="O43" i="33" s="1"/>
  <c r="O15" i="33"/>
  <c r="P41" i="33" s="1"/>
  <c r="O16" i="33"/>
  <c r="P42" i="33" s="1"/>
  <c r="O17" i="33"/>
  <c r="P43" i="33" s="1"/>
  <c r="O8" i="33"/>
  <c r="P34" i="33" s="1"/>
  <c r="N4" i="33"/>
  <c r="L32" i="33" s="1"/>
  <c r="D37" i="32"/>
  <c r="H16" i="32"/>
  <c r="F16" i="32"/>
  <c r="P17" i="28"/>
  <c r="Q17" i="28"/>
  <c r="O17" i="28"/>
  <c r="M3" i="28"/>
  <c r="M17" i="28" s="1"/>
  <c r="J16" i="32"/>
  <c r="AF35" i="32"/>
  <c r="N35" i="32" s="1"/>
  <c r="C35" i="32" s="1"/>
  <c r="AF26" i="32"/>
  <c r="AF30" i="32"/>
  <c r="N30" i="32" s="1"/>
  <c r="C30" i="32" s="1"/>
  <c r="AF5" i="32"/>
  <c r="AF13" i="32"/>
  <c r="N13" i="32" s="1"/>
  <c r="C13" i="32" s="1"/>
  <c r="AF14" i="32"/>
  <c r="N14" i="32" s="1"/>
  <c r="C14" i="32" s="1"/>
  <c r="AF27" i="32"/>
  <c r="N27" i="32" s="1"/>
  <c r="C27" i="32" s="1"/>
  <c r="N17" i="28"/>
  <c r="N26" i="34" l="1"/>
  <c r="AF36" i="34"/>
  <c r="N5" i="34"/>
  <c r="AF15" i="34"/>
  <c r="P35" i="33"/>
  <c r="P36" i="33"/>
  <c r="O36" i="33"/>
  <c r="O44" i="33"/>
  <c r="O35" i="33"/>
  <c r="N26" i="32"/>
  <c r="AF36" i="32"/>
  <c r="AF15" i="32"/>
  <c r="N5" i="32"/>
  <c r="O3" i="25"/>
  <c r="N3" i="25"/>
  <c r="M3" i="25"/>
  <c r="L3" i="25"/>
  <c r="K3" i="25"/>
  <c r="J3" i="25"/>
  <c r="Q15" i="34" l="1"/>
  <c r="P15" i="34"/>
  <c r="O15" i="34"/>
  <c r="N15" i="34"/>
  <c r="C5" i="34"/>
  <c r="P36" i="34"/>
  <c r="O36" i="34"/>
  <c r="R15" i="34"/>
  <c r="C26" i="34"/>
  <c r="C36" i="34" s="1"/>
  <c r="N36" i="34"/>
  <c r="Q15" i="32"/>
  <c r="C5" i="32"/>
  <c r="P36" i="32"/>
  <c r="P15" i="32"/>
  <c r="O36" i="32"/>
  <c r="O15" i="32"/>
  <c r="N15" i="32"/>
  <c r="R15" i="32"/>
  <c r="N36" i="32"/>
  <c r="C26" i="32"/>
  <c r="C36" i="32" s="1"/>
  <c r="Q17" i="25"/>
  <c r="C21" i="23"/>
  <c r="E21" i="23" s="1"/>
  <c r="R22" i="22"/>
  <c r="C37" i="34" l="1"/>
  <c r="P16" i="34"/>
  <c r="P17" i="34" s="1"/>
  <c r="O37" i="34"/>
  <c r="P37" i="34"/>
  <c r="R16" i="34"/>
  <c r="R17" i="34" s="1"/>
  <c r="I15" i="34"/>
  <c r="I16" i="34" s="1"/>
  <c r="E15" i="34"/>
  <c r="E16" i="34" s="1"/>
  <c r="G15" i="34"/>
  <c r="G16" i="34" s="1"/>
  <c r="C15" i="34"/>
  <c r="C16" i="34" s="1"/>
  <c r="K15" i="34"/>
  <c r="K16" i="34" s="1"/>
  <c r="G36" i="34"/>
  <c r="G37" i="34" s="1"/>
  <c r="E36" i="34"/>
  <c r="E37" i="34" s="1"/>
  <c r="O16" i="34"/>
  <c r="O17" i="34" s="1"/>
  <c r="Q16" i="34"/>
  <c r="Q17" i="34" s="1"/>
  <c r="O37" i="32"/>
  <c r="P37" i="32"/>
  <c r="O16" i="32"/>
  <c r="O17" i="32" s="1"/>
  <c r="Q16" i="32"/>
  <c r="Q17" i="32" s="1"/>
  <c r="P16" i="32"/>
  <c r="P17" i="32" s="1"/>
  <c r="R16" i="32"/>
  <c r="R17" i="32" s="1"/>
  <c r="C37" i="32"/>
  <c r="C15" i="32"/>
  <c r="C16" i="32" s="1"/>
  <c r="E36" i="32"/>
  <c r="E37" i="32" s="1"/>
  <c r="K15" i="32"/>
  <c r="K16" i="32" s="1"/>
  <c r="I15" i="32"/>
  <c r="I16" i="32" s="1"/>
  <c r="G36" i="32"/>
  <c r="G37" i="32" s="1"/>
  <c r="G15" i="32"/>
  <c r="G16" i="32" s="1"/>
  <c r="E15" i="32"/>
  <c r="E16" i="32" s="1"/>
  <c r="K9" i="23"/>
  <c r="C16" i="23" l="1"/>
  <c r="C24" i="23" s="1"/>
  <c r="C9" i="23"/>
  <c r="C8" i="23"/>
  <c r="C12" i="23"/>
  <c r="C30" i="23"/>
  <c r="C10" i="23"/>
  <c r="C28" i="23"/>
  <c r="H22" i="25" l="1"/>
  <c r="Q4" i="25"/>
  <c r="J36" i="25" s="1"/>
  <c r="H11" i="25" l="1"/>
  <c r="I11" i="25"/>
  <c r="J11" i="25"/>
  <c r="J14" i="25"/>
  <c r="I15" i="25"/>
  <c r="H31" i="25"/>
  <c r="H15" i="25"/>
  <c r="I22" i="25"/>
  <c r="H13" i="25"/>
  <c r="J15" i="25"/>
  <c r="I31" i="25"/>
  <c r="I13" i="25"/>
  <c r="H16" i="25"/>
  <c r="H33" i="25"/>
  <c r="J13" i="25"/>
  <c r="I16" i="25"/>
  <c r="I33" i="25"/>
  <c r="H14" i="25"/>
  <c r="H17" i="25"/>
  <c r="H35" i="25"/>
  <c r="I14" i="25"/>
  <c r="I17" i="25"/>
  <c r="I35" i="25"/>
  <c r="J16" i="25"/>
  <c r="J18" i="25" s="1"/>
  <c r="J17" i="25"/>
  <c r="J22" i="25"/>
  <c r="J31" i="25"/>
  <c r="J33" i="25"/>
  <c r="J35" i="25"/>
  <c r="K11" i="25"/>
  <c r="K13" i="25"/>
  <c r="K14" i="25"/>
  <c r="K15" i="25"/>
  <c r="K16" i="25"/>
  <c r="K17" i="25"/>
  <c r="K22" i="25"/>
  <c r="K31" i="25"/>
  <c r="K33" i="25"/>
  <c r="K35" i="25"/>
  <c r="L13" i="25"/>
  <c r="L14" i="25"/>
  <c r="L15" i="25"/>
  <c r="L16" i="25"/>
  <c r="L17" i="25"/>
  <c r="H30" i="25"/>
  <c r="H32" i="25"/>
  <c r="H34" i="25"/>
  <c r="H36" i="25"/>
  <c r="L11" i="25"/>
  <c r="M11" i="25"/>
  <c r="M13" i="25"/>
  <c r="M14" i="25"/>
  <c r="M15" i="25"/>
  <c r="M16" i="25"/>
  <c r="M17" i="25"/>
  <c r="I30" i="25"/>
  <c r="I32" i="25"/>
  <c r="I34" i="25"/>
  <c r="I36" i="25"/>
  <c r="N11" i="25"/>
  <c r="N13" i="25"/>
  <c r="N14" i="25"/>
  <c r="N15" i="25"/>
  <c r="N16" i="25"/>
  <c r="N17" i="25"/>
  <c r="J30" i="25"/>
  <c r="J32" i="25"/>
  <c r="J34" i="25"/>
  <c r="Q20" i="25"/>
  <c r="J12" i="25"/>
  <c r="O12" i="25"/>
  <c r="N12" i="25"/>
  <c r="M12" i="25"/>
  <c r="H12" i="25"/>
  <c r="L12" i="25"/>
  <c r="K12" i="25"/>
  <c r="I12" i="25"/>
  <c r="O11" i="25"/>
  <c r="O13" i="25"/>
  <c r="O14" i="25"/>
  <c r="O15" i="25"/>
  <c r="O16" i="25"/>
  <c r="O17" i="25"/>
  <c r="K30" i="25"/>
  <c r="K32" i="25"/>
  <c r="K34" i="25"/>
  <c r="K36" i="25"/>
  <c r="O18" i="25" l="1"/>
  <c r="H18" i="25"/>
  <c r="L18" i="25"/>
  <c r="J37" i="25"/>
  <c r="H37" i="25"/>
  <c r="K18" i="25"/>
  <c r="I37" i="25"/>
  <c r="M18" i="25"/>
  <c r="K37" i="25"/>
  <c r="D47" i="25"/>
  <c r="I18" i="25"/>
  <c r="N18" i="25"/>
  <c r="D45" i="25"/>
  <c r="D44" i="25"/>
  <c r="J6" i="13"/>
  <c r="Q15" i="13"/>
  <c r="C34" i="13" l="1"/>
  <c r="C13" i="13" l="1"/>
  <c r="C12" i="13"/>
  <c r="E30" i="23" l="1"/>
  <c r="E28" i="23"/>
  <c r="E16" i="23"/>
  <c r="E15" i="23"/>
  <c r="E10" i="23"/>
  <c r="E9" i="23"/>
  <c r="E8" i="23"/>
  <c r="F34" i="13"/>
  <c r="D34" i="13"/>
  <c r="J13" i="13"/>
  <c r="H13" i="13"/>
  <c r="F13" i="13"/>
  <c r="D13" i="13"/>
  <c r="M34" i="13"/>
  <c r="N34" i="13"/>
  <c r="M13" i="13"/>
  <c r="N13" i="13"/>
  <c r="AF35" i="13"/>
  <c r="AE35" i="13"/>
  <c r="AF34" i="13"/>
  <c r="AE34" i="13"/>
  <c r="AE33" i="13"/>
  <c r="AF33" i="13" s="1"/>
  <c r="AE32" i="13"/>
  <c r="AF32" i="13" s="1"/>
  <c r="AF31" i="13"/>
  <c r="AE31" i="13"/>
  <c r="AF30" i="13"/>
  <c r="AE30" i="13"/>
  <c r="AE29" i="13"/>
  <c r="AF29" i="13" s="1"/>
  <c r="AE28" i="13"/>
  <c r="AF28" i="13" s="1"/>
  <c r="AF27" i="13"/>
  <c r="AE27" i="13"/>
  <c r="AF26" i="13"/>
  <c r="AE26" i="13"/>
  <c r="AE13" i="13"/>
  <c r="H20" i="22"/>
  <c r="G20" i="22"/>
  <c r="H9" i="22"/>
  <c r="G9" i="22"/>
  <c r="O31" i="22"/>
  <c r="N31" i="22"/>
  <c r="O25" i="22"/>
  <c r="N25" i="22"/>
  <c r="N6" i="22"/>
  <c r="N10" i="22" s="1"/>
  <c r="O6" i="22"/>
  <c r="O10" i="22" s="1"/>
  <c r="O29" i="22"/>
  <c r="N29" i="22"/>
  <c r="O23" i="22"/>
  <c r="N23" i="22"/>
  <c r="O14" i="22"/>
  <c r="O16" i="22" s="1"/>
  <c r="N14" i="22"/>
  <c r="N16" i="22" s="1"/>
  <c r="O8" i="22"/>
  <c r="N8" i="22"/>
  <c r="O4" i="22"/>
  <c r="N4" i="22"/>
  <c r="H16" i="22"/>
  <c r="G16" i="22"/>
  <c r="H15" i="22"/>
  <c r="G15" i="22"/>
  <c r="H14" i="22"/>
  <c r="G14" i="22"/>
  <c r="H6" i="22"/>
  <c r="G6" i="22"/>
  <c r="H5" i="22"/>
  <c r="G5" i="22"/>
  <c r="H4" i="22"/>
  <c r="G4" i="22"/>
  <c r="U3" i="22"/>
  <c r="D47" i="22"/>
  <c r="D49" i="22"/>
  <c r="D46" i="22"/>
  <c r="D43" i="22"/>
  <c r="D42" i="22"/>
  <c r="D28" i="22"/>
  <c r="D27" i="22"/>
  <c r="D26" i="22"/>
  <c r="D25" i="22"/>
  <c r="D35" i="22"/>
  <c r="D34" i="22"/>
  <c r="D33" i="22"/>
  <c r="D32" i="22"/>
  <c r="D31" i="22"/>
  <c r="D36" i="22"/>
  <c r="K13" i="23" l="1"/>
  <c r="E12" i="23"/>
  <c r="E24" i="23"/>
  <c r="AF36" i="13"/>
  <c r="AE36" i="13"/>
  <c r="C14" i="23" l="1"/>
  <c r="E14" i="23" s="1"/>
  <c r="E32" i="23" s="1"/>
  <c r="K20" i="23" s="1"/>
  <c r="K22" i="23" s="1"/>
  <c r="K23" i="23" s="1"/>
  <c r="K24" i="23" s="1"/>
  <c r="O24" i="23" s="1"/>
  <c r="K27" i="23" l="1"/>
  <c r="O27" i="23" s="1"/>
  <c r="K28" i="23"/>
  <c r="O28" i="23" s="1"/>
  <c r="U13" i="14"/>
  <c r="U12" i="14"/>
  <c r="U11" i="14"/>
  <c r="U10" i="14"/>
  <c r="U9" i="14"/>
  <c r="U8" i="14"/>
  <c r="U7" i="14"/>
  <c r="U6" i="14"/>
  <c r="U5" i="14"/>
  <c r="U14" i="14" s="1"/>
  <c r="U15" i="14" s="1"/>
  <c r="O13" i="14"/>
  <c r="O12" i="14"/>
  <c r="O11" i="14"/>
  <c r="O10" i="14"/>
  <c r="O9" i="14"/>
  <c r="O8" i="14"/>
  <c r="O7" i="14"/>
  <c r="O6" i="14"/>
  <c r="O5" i="14"/>
  <c r="I13" i="14"/>
  <c r="I12" i="14"/>
  <c r="I11" i="14"/>
  <c r="I10" i="14"/>
  <c r="I9" i="14"/>
  <c r="I8" i="14"/>
  <c r="I7" i="14"/>
  <c r="I6" i="14"/>
  <c r="I5" i="14"/>
  <c r="AV13" i="14"/>
  <c r="X13" i="14"/>
  <c r="V13" i="14"/>
  <c r="R13" i="14"/>
  <c r="P13" i="14"/>
  <c r="L13" i="14"/>
  <c r="J13" i="14"/>
  <c r="F13" i="14"/>
  <c r="D13" i="14"/>
  <c r="AV12" i="14"/>
  <c r="X12" i="14"/>
  <c r="V12" i="14"/>
  <c r="R12" i="14"/>
  <c r="P12" i="14"/>
  <c r="L12" i="14"/>
  <c r="J12" i="14"/>
  <c r="F12" i="14"/>
  <c r="D12" i="14"/>
  <c r="AV11" i="14"/>
  <c r="X11" i="14"/>
  <c r="V11" i="14"/>
  <c r="R11" i="14"/>
  <c r="P11" i="14"/>
  <c r="L11" i="14"/>
  <c r="J11" i="14"/>
  <c r="F11" i="14"/>
  <c r="D11" i="14"/>
  <c r="AV10" i="14"/>
  <c r="X10" i="14"/>
  <c r="V10" i="14"/>
  <c r="R10" i="14"/>
  <c r="P10" i="14"/>
  <c r="L10" i="14"/>
  <c r="J10" i="14"/>
  <c r="F10" i="14"/>
  <c r="D10" i="14"/>
  <c r="AV9" i="14"/>
  <c r="X9" i="14"/>
  <c r="V9" i="14"/>
  <c r="R9" i="14"/>
  <c r="P9" i="14"/>
  <c r="L9" i="14"/>
  <c r="J9" i="14"/>
  <c r="F9" i="14"/>
  <c r="D9" i="14"/>
  <c r="AV8" i="14"/>
  <c r="X8" i="14"/>
  <c r="V8" i="14"/>
  <c r="R8" i="14"/>
  <c r="P8" i="14"/>
  <c r="L8" i="14"/>
  <c r="J8" i="14"/>
  <c r="F8" i="14"/>
  <c r="D8" i="14"/>
  <c r="AV7" i="14"/>
  <c r="X7" i="14"/>
  <c r="V7" i="14"/>
  <c r="R7" i="14"/>
  <c r="P7" i="14"/>
  <c r="L7" i="14"/>
  <c r="J7" i="14"/>
  <c r="F7" i="14"/>
  <c r="D7" i="14"/>
  <c r="AV6" i="14"/>
  <c r="X6" i="14"/>
  <c r="V6" i="14"/>
  <c r="R6" i="14"/>
  <c r="P6" i="14"/>
  <c r="L6" i="14"/>
  <c r="J6" i="14"/>
  <c r="F6" i="14"/>
  <c r="D6" i="14"/>
  <c r="AV5" i="14"/>
  <c r="X5" i="14"/>
  <c r="V5" i="14"/>
  <c r="R5" i="14"/>
  <c r="P5" i="14"/>
  <c r="L5" i="14"/>
  <c r="J5" i="14"/>
  <c r="F5" i="14"/>
  <c r="D5" i="14"/>
  <c r="O14" i="14" l="1"/>
  <c r="O15" i="14" s="1"/>
  <c r="I14" i="14"/>
  <c r="F15" i="14"/>
  <c r="L15" i="14"/>
  <c r="P15" i="14"/>
  <c r="R15" i="14"/>
  <c r="V15" i="14"/>
  <c r="X15" i="14"/>
  <c r="J15" i="14"/>
  <c r="D15" i="14"/>
  <c r="AV14" i="14"/>
  <c r="AW6" i="14" s="1"/>
  <c r="AB6" i="14" s="1"/>
  <c r="C6" i="14" s="1"/>
  <c r="F35" i="13"/>
  <c r="D35" i="13"/>
  <c r="F33" i="13"/>
  <c r="D33" i="13"/>
  <c r="F32" i="13"/>
  <c r="D32" i="13"/>
  <c r="F31" i="13"/>
  <c r="D31" i="13"/>
  <c r="F30" i="13"/>
  <c r="D30" i="13"/>
  <c r="F29" i="13"/>
  <c r="D29" i="13"/>
  <c r="F28" i="13"/>
  <c r="D28" i="13"/>
  <c r="F27" i="13"/>
  <c r="D27" i="13"/>
  <c r="F26" i="13"/>
  <c r="D26" i="13"/>
  <c r="AE14" i="13"/>
  <c r="J14" i="13"/>
  <c r="H14" i="13"/>
  <c r="F14" i="13"/>
  <c r="D14" i="13"/>
  <c r="AE12" i="13"/>
  <c r="J12" i="13"/>
  <c r="H12" i="13"/>
  <c r="F12" i="13"/>
  <c r="D12" i="13"/>
  <c r="AE11" i="13"/>
  <c r="J11" i="13"/>
  <c r="H11" i="13"/>
  <c r="F11" i="13"/>
  <c r="D11" i="13"/>
  <c r="AE10" i="13"/>
  <c r="J10" i="13"/>
  <c r="H10" i="13"/>
  <c r="F10" i="13"/>
  <c r="D10" i="13"/>
  <c r="AE9" i="13"/>
  <c r="J9" i="13"/>
  <c r="H9" i="13"/>
  <c r="F9" i="13"/>
  <c r="D9" i="13"/>
  <c r="AE8" i="13"/>
  <c r="J8" i="13"/>
  <c r="H8" i="13"/>
  <c r="F8" i="13"/>
  <c r="D8" i="13"/>
  <c r="AE7" i="13"/>
  <c r="J7" i="13"/>
  <c r="H7" i="13"/>
  <c r="F7" i="13"/>
  <c r="D7" i="13"/>
  <c r="AE6" i="13"/>
  <c r="H6" i="13"/>
  <c r="F6" i="13"/>
  <c r="D6" i="13"/>
  <c r="AE5" i="13"/>
  <c r="J5" i="13"/>
  <c r="H5" i="13"/>
  <c r="F5" i="13"/>
  <c r="D5" i="13"/>
  <c r="F10" i="7"/>
  <c r="H10" i="7"/>
  <c r="R6" i="7"/>
  <c r="AW12" i="14" l="1"/>
  <c r="AB12" i="14" s="1"/>
  <c r="C12" i="14" s="1"/>
  <c r="AW11" i="14"/>
  <c r="AB11" i="14" s="1"/>
  <c r="C11" i="14" s="1"/>
  <c r="AW13" i="14"/>
  <c r="AB13" i="14" s="1"/>
  <c r="C13" i="14" s="1"/>
  <c r="AW10" i="14"/>
  <c r="AB10" i="14" s="1"/>
  <c r="C10" i="14" s="1"/>
  <c r="AW9" i="14"/>
  <c r="AB9" i="14" s="1"/>
  <c r="C9" i="14" s="1"/>
  <c r="AW8" i="14"/>
  <c r="AB8" i="14" s="1"/>
  <c r="C8" i="14" s="1"/>
  <c r="AW7" i="14"/>
  <c r="AB7" i="14" s="1"/>
  <c r="C7" i="14" s="1"/>
  <c r="AW5" i="14"/>
  <c r="AB5" i="14" s="1"/>
  <c r="J16" i="13"/>
  <c r="F37" i="13"/>
  <c r="D37" i="13"/>
  <c r="F16" i="13"/>
  <c r="H16" i="13"/>
  <c r="D16" i="13"/>
  <c r="AE15" i="13"/>
  <c r="AP13" i="7"/>
  <c r="R13" i="7"/>
  <c r="P13" i="7"/>
  <c r="N13" i="7"/>
  <c r="L13" i="7"/>
  <c r="J13" i="7"/>
  <c r="H13" i="7"/>
  <c r="F13" i="7"/>
  <c r="D13" i="7"/>
  <c r="AP12" i="7"/>
  <c r="R12" i="7"/>
  <c r="P12" i="7"/>
  <c r="N12" i="7"/>
  <c r="L12" i="7"/>
  <c r="J12" i="7"/>
  <c r="H12" i="7"/>
  <c r="F12" i="7"/>
  <c r="D12" i="7"/>
  <c r="AP11" i="7"/>
  <c r="R11" i="7"/>
  <c r="P11" i="7"/>
  <c r="N11" i="7"/>
  <c r="L11" i="7"/>
  <c r="J11" i="7"/>
  <c r="H11" i="7"/>
  <c r="F11" i="7"/>
  <c r="D11" i="7"/>
  <c r="AP10" i="7"/>
  <c r="R10" i="7"/>
  <c r="P10" i="7"/>
  <c r="N10" i="7"/>
  <c r="L10" i="7"/>
  <c r="J10" i="7"/>
  <c r="D10" i="7"/>
  <c r="AP9" i="7"/>
  <c r="R9" i="7"/>
  <c r="P9" i="7"/>
  <c r="N9" i="7"/>
  <c r="L9" i="7"/>
  <c r="J9" i="7"/>
  <c r="H9" i="7"/>
  <c r="F9" i="7"/>
  <c r="D9" i="7"/>
  <c r="AP8" i="7"/>
  <c r="R8" i="7"/>
  <c r="P8" i="7"/>
  <c r="N8" i="7"/>
  <c r="L8" i="7"/>
  <c r="J8" i="7"/>
  <c r="H8" i="7"/>
  <c r="F8" i="7"/>
  <c r="D8" i="7"/>
  <c r="AP7" i="7"/>
  <c r="R7" i="7"/>
  <c r="P7" i="7"/>
  <c r="N7" i="7"/>
  <c r="L7" i="7"/>
  <c r="J7" i="7"/>
  <c r="H7" i="7"/>
  <c r="F7" i="7"/>
  <c r="D7" i="7"/>
  <c r="AP6" i="7"/>
  <c r="P6" i="7"/>
  <c r="N6" i="7"/>
  <c r="L6" i="7"/>
  <c r="J6" i="7"/>
  <c r="H6" i="7"/>
  <c r="F6" i="7"/>
  <c r="D6" i="7"/>
  <c r="AP5" i="7"/>
  <c r="R5" i="7"/>
  <c r="P5" i="7"/>
  <c r="N5" i="7"/>
  <c r="L5" i="7"/>
  <c r="J5" i="7"/>
  <c r="H5" i="7"/>
  <c r="F5" i="7"/>
  <c r="D5" i="7"/>
  <c r="AF14" i="13" l="1"/>
  <c r="N14" i="13" s="1"/>
  <c r="C14" i="13" s="1"/>
  <c r="AF13" i="13"/>
  <c r="AW14" i="14"/>
  <c r="AE14" i="14"/>
  <c r="C5" i="14"/>
  <c r="AD14" i="14"/>
  <c r="AC14" i="14"/>
  <c r="AJ14" i="14"/>
  <c r="AB14" i="14"/>
  <c r="AI14" i="14"/>
  <c r="AH14" i="14"/>
  <c r="I15" i="14" s="1"/>
  <c r="AG14" i="14"/>
  <c r="AF14" i="14"/>
  <c r="N35" i="13"/>
  <c r="C35" i="13" s="1"/>
  <c r="AF7" i="13"/>
  <c r="N7" i="13" s="1"/>
  <c r="C7" i="13" s="1"/>
  <c r="AF6" i="13"/>
  <c r="N6" i="13" s="1"/>
  <c r="C6" i="13" s="1"/>
  <c r="N29" i="13"/>
  <c r="C29" i="13" s="1"/>
  <c r="N27" i="13"/>
  <c r="C27" i="13" s="1"/>
  <c r="AF5" i="13"/>
  <c r="AF12" i="13"/>
  <c r="N12" i="13" s="1"/>
  <c r="N31" i="13"/>
  <c r="C31" i="13" s="1"/>
  <c r="AF11" i="13"/>
  <c r="N11" i="13" s="1"/>
  <c r="C11" i="13" s="1"/>
  <c r="N28" i="13"/>
  <c r="C28" i="13" s="1"/>
  <c r="N30" i="13"/>
  <c r="C30" i="13" s="1"/>
  <c r="AF9" i="13"/>
  <c r="N9" i="13" s="1"/>
  <c r="C9" i="13" s="1"/>
  <c r="AF8" i="13"/>
  <c r="N8" i="13" s="1"/>
  <c r="C8" i="13" s="1"/>
  <c r="AF10" i="13"/>
  <c r="N10" i="13" s="1"/>
  <c r="C10" i="13" s="1"/>
  <c r="N32" i="13"/>
  <c r="C32" i="13" s="1"/>
  <c r="N33" i="13"/>
  <c r="C33" i="13" s="1"/>
  <c r="AP14" i="7"/>
  <c r="AQ12" i="7" s="1"/>
  <c r="V12" i="7" s="1"/>
  <c r="C12" i="7" s="1"/>
  <c r="D15" i="7"/>
  <c r="F15" i="7"/>
  <c r="N15" i="7"/>
  <c r="L15" i="7"/>
  <c r="J15" i="7"/>
  <c r="P15" i="7"/>
  <c r="R15" i="7"/>
  <c r="H15" i="7"/>
  <c r="AQ7" i="7"/>
  <c r="V7" i="7" s="1"/>
  <c r="C7" i="7" s="1"/>
  <c r="AQ8" i="7"/>
  <c r="V8" i="7" s="1"/>
  <c r="C8" i="7" s="1"/>
  <c r="AE15" i="14" l="1"/>
  <c r="AE16" i="14" s="1"/>
  <c r="AC15" i="14"/>
  <c r="AC16" i="14" s="1"/>
  <c r="AD15" i="14"/>
  <c r="AD16" i="14" s="1"/>
  <c r="AG15" i="14"/>
  <c r="AG16" i="14" s="1"/>
  <c r="AH15" i="14"/>
  <c r="AH16" i="14" s="1"/>
  <c r="AF15" i="14"/>
  <c r="AF16" i="14" s="1"/>
  <c r="AI15" i="14"/>
  <c r="AI16" i="14" s="1"/>
  <c r="AJ15" i="14"/>
  <c r="AJ16" i="14" s="1"/>
  <c r="M14" i="14"/>
  <c r="M15" i="14" s="1"/>
  <c r="K14" i="14"/>
  <c r="K15" i="14" s="1"/>
  <c r="G14" i="14"/>
  <c r="G15" i="14" s="1"/>
  <c r="E14" i="14"/>
  <c r="E15" i="14" s="1"/>
  <c r="Y14" i="14"/>
  <c r="Y15" i="14" s="1"/>
  <c r="C14" i="14"/>
  <c r="C15" i="14" s="1"/>
  <c r="W14" i="14"/>
  <c r="W15" i="14" s="1"/>
  <c r="Q14" i="14"/>
  <c r="Q15" i="14" s="1"/>
  <c r="S14" i="14"/>
  <c r="S15" i="14" s="1"/>
  <c r="AF15" i="13"/>
  <c r="N26" i="13"/>
  <c r="N5" i="13"/>
  <c r="AQ13" i="7"/>
  <c r="V13" i="7" s="1"/>
  <c r="C13" i="7" s="1"/>
  <c r="AQ5" i="7"/>
  <c r="AQ11" i="7"/>
  <c r="V11" i="7" s="1"/>
  <c r="C11" i="7" s="1"/>
  <c r="AQ10" i="7"/>
  <c r="V10" i="7" s="1"/>
  <c r="C10" i="7" s="1"/>
  <c r="AQ9" i="7"/>
  <c r="V9" i="7" s="1"/>
  <c r="C9" i="7" s="1"/>
  <c r="AQ6" i="7"/>
  <c r="V6" i="7" s="1"/>
  <c r="C6" i="7" s="1"/>
  <c r="P15" i="13" l="1"/>
  <c r="O15" i="13"/>
  <c r="C5" i="13"/>
  <c r="G15" i="13" s="1"/>
  <c r="N15" i="13"/>
  <c r="R15" i="13"/>
  <c r="P36" i="13"/>
  <c r="O36" i="13"/>
  <c r="N36" i="13"/>
  <c r="C26" i="13"/>
  <c r="C36" i="13" s="1"/>
  <c r="K15" i="13"/>
  <c r="I15" i="13"/>
  <c r="AQ14" i="7"/>
  <c r="V5" i="7"/>
  <c r="C5" i="7" s="1"/>
  <c r="Y14" i="7"/>
  <c r="AA14" i="7"/>
  <c r="O16" i="13" l="1"/>
  <c r="O17" i="13" s="1"/>
  <c r="I16" i="13"/>
  <c r="C37" i="13"/>
  <c r="P37" i="13"/>
  <c r="O37" i="13"/>
  <c r="K16" i="13"/>
  <c r="G16" i="13"/>
  <c r="P16" i="13"/>
  <c r="P17" i="13" s="1"/>
  <c r="G36" i="13"/>
  <c r="G37" i="13" s="1"/>
  <c r="E36" i="13"/>
  <c r="E37" i="13" s="1"/>
  <c r="C15" i="13"/>
  <c r="C16" i="13" s="1"/>
  <c r="E15" i="13"/>
  <c r="E16" i="13" s="1"/>
  <c r="Q16" i="13"/>
  <c r="Q17" i="13" s="1"/>
  <c r="R16" i="13"/>
  <c r="R17" i="13" s="1"/>
  <c r="AC14" i="7"/>
  <c r="V14" i="7"/>
  <c r="AB14" i="7"/>
  <c r="AD14" i="7"/>
  <c r="X14" i="7"/>
  <c r="W14" i="7"/>
  <c r="Z14" i="7"/>
  <c r="K14" i="7"/>
  <c r="G14" i="7"/>
  <c r="I14" i="7"/>
  <c r="I15" i="7" s="1"/>
  <c r="E14" i="7"/>
  <c r="S14" i="7"/>
  <c r="C14" i="7"/>
  <c r="C15" i="7" s="1"/>
  <c r="Q14" i="7"/>
  <c r="Q15" i="7" s="1"/>
  <c r="O14" i="7"/>
  <c r="M14" i="7"/>
  <c r="M15" i="7" s="1"/>
  <c r="S15" i="7" l="1"/>
  <c r="Z15" i="7"/>
  <c r="Z16" i="7" s="1"/>
  <c r="AB15" i="7"/>
  <c r="AB16" i="7" s="1"/>
  <c r="AA15" i="7"/>
  <c r="AA16" i="7" s="1"/>
  <c r="X15" i="7"/>
  <c r="X16" i="7" s="1"/>
  <c r="AD15" i="7"/>
  <c r="AD16" i="7" s="1"/>
  <c r="G15" i="7"/>
  <c r="K15" i="7"/>
  <c r="O15" i="7"/>
  <c r="AC15" i="7"/>
  <c r="AC16" i="7" s="1"/>
  <c r="W15" i="7"/>
  <c r="W16" i="7" s="1"/>
  <c r="E15" i="7"/>
  <c r="Y15" i="7"/>
  <c r="Y16" i="7"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tc={35A961EE-D2AB-425E-91EF-9B469D6710B9}</author>
    <author>Tolentino, Alexandra</author>
    <author>tc={63269A4F-4D7B-4100-8373-1866031D7715}</author>
    <author>tc={6817E9FE-B4B1-4749-BEEB-CCF12C7B52F7}</author>
    <author>tc={403134A5-99C4-4F0A-AE9D-86D581D03A67}</author>
    <author>tc={FE716EBA-057E-48D7-A742-B4DD57EDAB20}</author>
    <author>tc={BE04204D-B8F8-4E42-B9ED-72385C8ABD99}</author>
  </authors>
  <commentList>
    <comment ref="AK5" authorId="0" shapeId="0" xr:uid="{35A961EE-D2AB-425E-91EF-9B469D6710B9}">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hydrau risks -&gt; high-stage pump head, exceeds the design criteria esp for pressure.</t>
        </r>
      </text>
    </comment>
    <comment ref="Q6" authorId="1" shapeId="0" xr:uid="{568B40F6-AEC4-42FF-921C-39F132D36A28}">
      <text>
        <r>
          <rPr>
            <b/>
            <sz val="9"/>
            <color indexed="81"/>
            <rFont val="Tahoma"/>
            <family val="2"/>
          </rPr>
          <t>Tolentino, Alexandra:</t>
        </r>
        <r>
          <rPr>
            <sz val="9"/>
            <color indexed="81"/>
            <rFont val="Tahoma"/>
            <family val="2"/>
          </rPr>
          <t xml:space="preserve">
PREV 3.</t>
        </r>
      </text>
    </comment>
    <comment ref="R6" authorId="1" shapeId="0" xr:uid="{62777DFB-11E9-4D7C-9836-1608EC82B401}">
      <text>
        <r>
          <rPr>
            <b/>
            <sz val="9"/>
            <color indexed="81"/>
            <rFont val="Tahoma"/>
            <family val="2"/>
          </rPr>
          <t>Tolentino, Alexandra:</t>
        </r>
        <r>
          <rPr>
            <sz val="9"/>
            <color indexed="81"/>
            <rFont val="Tahoma"/>
            <family val="2"/>
          </rPr>
          <t xml:space="preserve">
Previously 4 but changed to 3 after site visit last March 14, 2022.
</t>
        </r>
      </text>
    </comment>
    <comment ref="AK6" authorId="2" shapeId="0" xr:uid="{63269A4F-4D7B-4100-8373-1866031D7715}">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1. Earthquake
2. Liquefaction
3. Landslide
4. Volcanic Eruption
5. Tsunami</t>
        </r>
      </text>
    </comment>
    <comment ref="AK16" authorId="3" shapeId="0" xr:uid="{6817E9FE-B4B1-4749-BEEB-CCF12C7B52F7}">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for fs stage.</t>
        </r>
      </text>
    </comment>
    <comment ref="AK26" authorId="4" shapeId="0" xr:uid="{403134A5-99C4-4F0A-AE9D-86D581D03A67}">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hydrau risks -&gt; high-stage pump head, exceeds the design criteria esp for pressure.</t>
        </r>
      </text>
    </comment>
    <comment ref="AK27" authorId="5" shapeId="0" xr:uid="{FE716EBA-057E-48D7-A742-B4DD57EDAB20}">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1. Earthquake
2. Liquefaction
3. Landslide
4. Volcanic Eruption
5. Tsunami</t>
        </r>
      </text>
    </comment>
    <comment ref="AK37" authorId="6" shapeId="0" xr:uid="{BE04204D-B8F8-4E42-B9ED-72385C8ABD99}">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for fs stage.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tc={A4A709E6-0550-4FD5-AB29-ACFDC837A234}</author>
    <author>Tolentino, Alexandra</author>
    <author>tc={983FB185-40AA-4DD6-ABC8-F3F9D7566781}</author>
    <author>tc={4BEDA47E-9F80-40AE-AD06-0668363855D1}</author>
  </authors>
  <commentList>
    <comment ref="AK5" authorId="0" shapeId="0" xr:uid="{A4A709E6-0550-4FD5-AB29-ACFDC837A234}">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hydrau risks -&gt; high-stage pump head, exceeds the design criteria esp for pressure.</t>
        </r>
      </text>
    </comment>
    <comment ref="Q6" authorId="1" shapeId="0" xr:uid="{643BE372-D2EC-4147-8B66-344CAEC680E2}">
      <text>
        <r>
          <rPr>
            <b/>
            <sz val="9"/>
            <color indexed="81"/>
            <rFont val="Tahoma"/>
            <family val="2"/>
          </rPr>
          <t>Tolentino, Alexandra:</t>
        </r>
        <r>
          <rPr>
            <sz val="9"/>
            <color indexed="81"/>
            <rFont val="Tahoma"/>
            <family val="2"/>
          </rPr>
          <t xml:space="preserve">
PREV 3.</t>
        </r>
      </text>
    </comment>
    <comment ref="R6" authorId="1" shapeId="0" xr:uid="{69EF5C47-A315-43E5-95AC-D112C15B4001}">
      <text>
        <r>
          <rPr>
            <b/>
            <sz val="9"/>
            <color indexed="81"/>
            <rFont val="Tahoma"/>
            <family val="2"/>
          </rPr>
          <t>Tolentino, Alexandra:</t>
        </r>
        <r>
          <rPr>
            <sz val="9"/>
            <color indexed="81"/>
            <rFont val="Tahoma"/>
            <family val="2"/>
          </rPr>
          <t xml:space="preserve">
Previously 4 but changed to 3 after site visit last March 14, 2022.
</t>
        </r>
      </text>
    </comment>
    <comment ref="AK6" authorId="2" shapeId="0" xr:uid="{983FB185-40AA-4DD6-ABC8-F3F9D7566781}">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1. Earthquake
2. Liquefaction
3. Landslide
4. Volcanic Eruption
5. Tsunami</t>
        </r>
      </text>
    </comment>
    <comment ref="AK16" authorId="3" shapeId="0" xr:uid="{4BEDA47E-9F80-40AE-AD06-0668363855D1}">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for fs stage.</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tc={141E6F04-3439-465E-BC07-3BCFEB5B7955}</author>
  </authors>
  <commentList>
    <comment ref="AK6" authorId="0" shapeId="0" xr:uid="{141E6F04-3439-465E-BC07-3BCFEB5B7955}">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1. Earthquake
2. Liquefaction
3. Landslide
4. Volcanic Eruption
5. Tsunami</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Tolentino, Alexandra</author>
    <author>tc={FBE3F925-9722-43CC-9A72-47B0C1217919}</author>
  </authors>
  <commentList>
    <comment ref="W9" authorId="0" shapeId="0" xr:uid="{C20DAAD4-E84C-4A86-A51C-7839DFD078FE}">
      <text>
        <r>
          <rPr>
            <b/>
            <sz val="9"/>
            <color indexed="81"/>
            <rFont val="Tahoma"/>
            <family val="2"/>
          </rPr>
          <t>Tolentino, Alexandra:</t>
        </r>
        <r>
          <rPr>
            <sz val="9"/>
            <color indexed="81"/>
            <rFont val="Tahoma"/>
            <family val="2"/>
          </rPr>
          <t xml:space="preserve">
score might change if row acquisition for anything beyond 50m is an exemption since mwci is the contractor of mwss for this project.</t>
        </r>
      </text>
    </comment>
    <comment ref="AG21" authorId="1" shapeId="0" xr:uid="{FBE3F925-9722-43CC-9A72-47B0C1217919}">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1. Earthquake
2. Liquefaction
3. Landslide
4. Volcanic Eruption
5. Tsunami</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Tolentino, Alexandra</author>
    <author>tc={B3554FBC-F293-417A-9ACA-17B386B28284}</author>
  </authors>
  <commentList>
    <comment ref="AC9" authorId="0" shapeId="0" xr:uid="{C3CBEF22-A637-4D58-B8EC-296693D5EC79}">
      <text>
        <r>
          <rPr>
            <b/>
            <sz val="9"/>
            <color indexed="81"/>
            <rFont val="Tahoma"/>
            <family val="2"/>
          </rPr>
          <t>Tolentino, Alexandra:</t>
        </r>
        <r>
          <rPr>
            <sz val="9"/>
            <color indexed="81"/>
            <rFont val="Tahoma"/>
            <family val="2"/>
          </rPr>
          <t xml:space="preserve">
score might change if row acquisition for anything beyond 50m is an exemption since mwci is the contractor of mwss for this project.</t>
        </r>
      </text>
    </comment>
    <comment ref="AM21" authorId="1" shapeId="0" xr:uid="{B3554FBC-F293-417A-9ACA-17B386B28284}">
      <text>
        <r>
          <rPr>
            <sz val="11"/>
            <color theme="1"/>
            <rFont val="Calibri"/>
            <family val="2"/>
            <scheme val="minor"/>
          </rPr>
          <t>[Threaded comment]
Your version of Excel allows you to read this threaded comment; however, any edits to it will get removed if the file is opened in a newer version of Excel. Learn more: https://go.microsoft.com/fwlink/?linkid=870924
Comment:
    1. Earthquake
2. Liquefaction
3. Landslide
4. Volcanic Eruption
5. Tsunami</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Tolentino, Alexandra</author>
  </authors>
  <commentList>
    <comment ref="O3" authorId="0" shapeId="0" xr:uid="{3281E103-D774-466B-886D-26157EC56550}">
      <text>
        <r>
          <rPr>
            <b/>
            <sz val="9"/>
            <color indexed="81"/>
            <rFont val="Tahoma"/>
            <family val="2"/>
          </rPr>
          <t>Tolentino, Alexandra:</t>
        </r>
        <r>
          <rPr>
            <sz val="9"/>
            <color indexed="81"/>
            <rFont val="Tahoma"/>
            <family val="2"/>
          </rPr>
          <t xml:space="preserve">
ONLY 1 GANG FOR TUNNEL.</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Tolentino, Alexandra</author>
  </authors>
  <commentList>
    <comment ref="K10" authorId="0" shapeId="0" xr:uid="{EC96D8D4-E94B-4B75-900F-C659285CCB3B}">
      <text>
        <r>
          <rPr>
            <b/>
            <sz val="9"/>
            <color indexed="81"/>
            <rFont val="Tahoma"/>
            <family val="2"/>
          </rPr>
          <t>Tolentino, Alexandra:</t>
        </r>
        <r>
          <rPr>
            <sz val="9"/>
            <color indexed="81"/>
            <rFont val="Tahoma"/>
            <family val="2"/>
          </rPr>
          <t xml:space="preserve">
300mm for thick of asph</t>
        </r>
      </text>
    </comment>
    <comment ref="C14" authorId="0" shapeId="0" xr:uid="{C81CCC8E-A4FE-418E-9254-5C85A96F460E}">
      <text>
        <r>
          <rPr>
            <b/>
            <sz val="9"/>
            <color indexed="81"/>
            <rFont val="Tahoma"/>
            <family val="2"/>
          </rPr>
          <t>Tolentino, Alexandra:</t>
        </r>
        <r>
          <rPr>
            <sz val="9"/>
            <color indexed="81"/>
            <rFont val="Tahoma"/>
            <family val="2"/>
          </rPr>
          <t xml:space="preserve">
10???</t>
        </r>
      </text>
    </comment>
    <comment ref="C21" authorId="0" shapeId="0" xr:uid="{C354E8EC-B9B1-43DF-84BC-453ED25C8E7B}">
      <text>
        <r>
          <rPr>
            <b/>
            <sz val="9"/>
            <color indexed="81"/>
            <rFont val="Tahoma"/>
            <family val="2"/>
          </rPr>
          <t>Tolentino, Alexandra:</t>
        </r>
        <r>
          <rPr>
            <sz val="9"/>
            <color indexed="81"/>
            <rFont val="Tahoma"/>
            <family val="2"/>
          </rPr>
          <t xml:space="preserve">
8??</t>
        </r>
      </text>
    </comment>
    <comment ref="J27" authorId="0" shapeId="0" xr:uid="{ED8D3153-8172-4077-BC4D-647D45F6F54B}">
      <text>
        <r>
          <rPr>
            <b/>
            <sz val="9"/>
            <color indexed="81"/>
            <rFont val="Tahoma"/>
            <family val="2"/>
          </rPr>
          <t>Tolentino, Alexandra:</t>
        </r>
        <r>
          <rPr>
            <sz val="9"/>
            <color indexed="81"/>
            <rFont val="Tahoma"/>
            <family val="2"/>
          </rPr>
          <t xml:space="preserve">
stations / equipment?</t>
        </r>
      </text>
    </comment>
  </commentList>
</comments>
</file>

<file path=xl/sharedStrings.xml><?xml version="1.0" encoding="utf-8"?>
<sst xmlns="http://schemas.openxmlformats.org/spreadsheetml/2006/main" count="2090" uniqueCount="477">
  <si>
    <t>Weighted Decision Matrix with Rationale</t>
  </si>
  <si>
    <t>Weighted Decision Matrix</t>
  </si>
  <si>
    <t>Simplified Analytic Hierarchy Process</t>
  </si>
  <si>
    <t>Criteria</t>
  </si>
  <si>
    <t>Weighted factors</t>
  </si>
  <si>
    <t>Option 1a</t>
  </si>
  <si>
    <t>Option 1b</t>
  </si>
  <si>
    <t>Option 2a</t>
  </si>
  <si>
    <t>Option 2b</t>
  </si>
  <si>
    <t>Option 3A</t>
  </si>
  <si>
    <t>Option 3B</t>
  </si>
  <si>
    <t>Option 4A</t>
  </si>
  <si>
    <t>Option 4B</t>
  </si>
  <si>
    <t>Weighted factor</t>
  </si>
  <si>
    <t>Score</t>
  </si>
  <si>
    <t>Geohazard</t>
  </si>
  <si>
    <t>Traffic Impact</t>
  </si>
  <si>
    <t>Environmental   Impact</t>
  </si>
  <si>
    <t>Social Impact</t>
  </si>
  <si>
    <t>Right-of-Way</t>
  </si>
  <si>
    <t>Impact on other utilities</t>
  </si>
  <si>
    <t>Hydraulics</t>
  </si>
  <si>
    <t>Constructability</t>
  </si>
  <si>
    <t>Water Hammer</t>
  </si>
  <si>
    <t>Total</t>
  </si>
  <si>
    <t>Weighted Importance Factor</t>
  </si>
  <si>
    <t>Substantiation</t>
  </si>
  <si>
    <t>Option 3a</t>
  </si>
  <si>
    <t>Option 3b</t>
  </si>
  <si>
    <t>Option 4a</t>
  </si>
  <si>
    <t>Option 4b</t>
  </si>
  <si>
    <t xml:space="preserve">Upon identification of geohazards of the route options through HazardHunter PH, we have observed that all proposed route options have the same susceptibility to 3 geohazards; namely, liquefaction, earthquake, and landslide. </t>
  </si>
  <si>
    <t>Comparing to options with the category A downstream, this option has a lesser risk because of the approx. 5.8km tunnel route in upstream area. Consequently, no impact on traffic will incur in that area. However, overall, this would still cause heavy traffic impact due to the series of heavily-congested avenues in the downstream portion.</t>
  </si>
  <si>
    <t>Comparing to options with the category B downstream, this option has a lesser risk because of the approx. 5.8km tunnel route in upstream area. Consequently, no impact on traffic will incur in that area. This also has lesser risk compared to Option 1A since it will traverse through eastbank road instead of passing through Barkadahan Bridge and series of heavily-congested avenues. Hence, this option would overall cause medium traffic impact.</t>
  </si>
  <si>
    <t>In accordance to typical traffic congestion using MyMaps, the upstream route of option 2b would cause light to medium traffic congestion due to construction works. However, this option has a lesser risk since the downstream area would pass through eastbank road with approximately 7.5km in length where the traffic is light to medium compared to the typical traffic situation in Option A downstream with approx. 9.3km in length. Hence, this would overall cause heavy traffic impact.</t>
  </si>
  <si>
    <t>In accordance to typical traffic congestion using MyMaps, the upstream route of option 3a would cause light to medium traffic congestion due to construction works; however, the downstream portion has significant heavy traffic impact due to slow movement of vehicles in Barkadahan Bridge, Ejercito Ave., A. Sandoval Ave., Mercedes Ave., C. Raymundo Ave., Dr. Sixto Ave., Eagle Ave Bridge, Eulogio Rodriguez Jr. Ave and other roads traversing to Fort Boni and Palingon Reservoir. Hence, this would overall cause paralysis to traffic.</t>
  </si>
  <si>
    <t>In accordance to typical traffic congestion using MyMaps, the upstream route of option 3b would cause light to medium traffic congestion due to construction works. However, this option has a lesser risk since the downstream area would pass through eastbank road with approximately 7.5km in length where the traffic is light to medium compared to the typical traffic situation in Option A downstream with approx. 9.3km in length. Hence, this would overall cause heavy traffic impact.</t>
  </si>
  <si>
    <t>In accordance to typical traffic congestion using MyMaps, the upstream route of option 4a would cause light to medium traffic congestion due to construction works; however, the downstream portion has significant heavy traffic impact due to slow movement of vehicles in Barkadahan Bridge, Ejercito Ave., A. Sandoval Ave., Mercedes Ave., C. Raymundo Ave., Dr. Sixto Ave., Eagle Ave Bridge, Eulogio Rodriguez Jr. Ave and other roads traversing to Fort Boni and Palingon Reservoir. Hence, this would overall cause paralysis to traffic.</t>
  </si>
  <si>
    <t>In accordance to typical traffic congestion using MyMaps, the upstream route of option 4b would cause light to medium traffic congestion due to construction works. However, this option has a lesser risk since the downstream area would pass through eastbank road with approximately 7.5km in length where the traffic is light to medium compared to the typical traffic situation in Option A downstream with approx. 9.3km in length. Hence, this would overall cause heavy traffic impact.</t>
  </si>
  <si>
    <t>Environmental Impact</t>
  </si>
  <si>
    <t>This has a higher risk compared to other options as this option consist of tunneling works. Consequently, the adverse environmental impact would not only be air and noise pollution, but also possible groundwater pollution, soil contamination, land sliding possibility and the like due to drilling of boreholes and tunneling itself.</t>
  </si>
  <si>
    <t>Construction activities could have a considerable effect on the environment as air and noise pollution during construction phase may occur.</t>
  </si>
  <si>
    <t xml:space="preserve">Environmental </t>
  </si>
  <si>
    <t>This has a higher impact to community compared to other options since other than the effect to society of pipe construction on roadways, an added significant impact to society might occur in tunnel alignment portion even if this will pass through non-roadways. This portion will pass through series of residential, office, commercial and other properties which can disturb the people nearby.</t>
  </si>
  <si>
    <t>This option would cause considerable impact to society as this will mostly traverse on roadways. The noise due to construction might disturb the community living nearby.</t>
  </si>
  <si>
    <t>This option has the highest risk as it would not just need ROW acquisition for private lot, pipe bends and creek crossing but also perpetual ROW for tunnel.</t>
  </si>
  <si>
    <t>With the route having a total stretch of approximately 42km, massive number of acquisition due to pipe bends are needed. Not only that, but ROW acquisition for private lots and creek crossing are necessary for this option.</t>
  </si>
  <si>
    <t>This has the least risk as this route option does not need a pumping station.</t>
  </si>
  <si>
    <t>This will need considerable number of pumps which is 3No. Hence, this has the higher risk when it comes to hydraulics</t>
  </si>
  <si>
    <t>This will need minimal number of pumps which is 2No. Hence, this has the medium risk when it comes to hydraulics</t>
  </si>
  <si>
    <t>This will need minimal number of pumps which is 1No. Hence, this has the medium risk when it comes to hydraulics</t>
  </si>
  <si>
    <t>This has the least risk since its maximum pressure falls at 83mH2O based on initial hydraulic simulation results.</t>
  </si>
  <si>
    <t>This option has the highest risk because the maximum pressure requirement for this route is at 134mH2O.</t>
  </si>
  <si>
    <t>Similar with option 4, this has a maximum pressure ranging from 100-130mH2O -&gt; 117mH2O to be particular.</t>
  </si>
  <si>
    <t>Similar with option 3, this has a maximum pressure ranging from 100-130mH2O -&gt; 121mH2O to be particular.</t>
  </si>
  <si>
    <t>Ranking</t>
  </si>
  <si>
    <t>Scoring Guidelines for pipeline options</t>
  </si>
  <si>
    <t>Required hydraulic head attainable with preeminent number of PS needed</t>
  </si>
  <si>
    <t>Required hydraulic head attainable with significant number of PS needed</t>
  </si>
  <si>
    <t>Required hydraulic head attainable with considerable number of PS needed</t>
  </si>
  <si>
    <t>Required hydraulic head attainable with minimal number of PS needed</t>
  </si>
  <si>
    <t>Required hydraulic head attainable without the need for PS</t>
  </si>
  <si>
    <t>Susceptible to all identified hazards</t>
  </si>
  <si>
    <t>Susceptible to three of the identified hazards</t>
  </si>
  <si>
    <t>Susceptible to two of the identified hazards</t>
  </si>
  <si>
    <t>Susceptible to one of the identified hazards</t>
  </si>
  <si>
    <t>Zero susceptibility to hazards</t>
  </si>
  <si>
    <t>Would cause paralysis to traffic</t>
  </si>
  <si>
    <t>Would cause heavy traffic congestion</t>
  </si>
  <si>
    <t>Would cause medium traffic congestion</t>
  </si>
  <si>
    <t>Would cause light traffic congestion</t>
  </si>
  <si>
    <t>Zero Impact to traffic</t>
  </si>
  <si>
    <t xml:space="preserve">With catastrophic impact to environment </t>
  </si>
  <si>
    <t xml:space="preserve">With significant impact to environment </t>
  </si>
  <si>
    <t xml:space="preserve">With considerable impact to environment </t>
  </si>
  <si>
    <t xml:space="preserve">With low impact to environment </t>
  </si>
  <si>
    <t xml:space="preserve">Zero impact to environment </t>
  </si>
  <si>
    <t>With catastrophic impact to  community</t>
  </si>
  <si>
    <t>With significant impact to  community</t>
  </si>
  <si>
    <t>With considerable impact to  community</t>
  </si>
  <si>
    <t>With low impact to  community</t>
  </si>
  <si>
    <t>Zero impact to  community</t>
  </si>
  <si>
    <t>With preeminent ROW acquisition</t>
  </si>
  <si>
    <t xml:space="preserve">With significant ROW acquisition </t>
  </si>
  <si>
    <t xml:space="preserve">With considerable ROW acquisition </t>
  </si>
  <si>
    <t>With minimal ROW acquisition</t>
  </si>
  <si>
    <t>Without ROW acquisition</t>
  </si>
  <si>
    <t>With catastrophic impact to  other utilities</t>
  </si>
  <si>
    <t>With significant impact to  other utilities</t>
  </si>
  <si>
    <t>With considerable impact to  other utilities</t>
  </si>
  <si>
    <t>With low impact to  other utilities</t>
  </si>
  <si>
    <t>Zero impact to  other utilities</t>
  </si>
  <si>
    <t>Constructible but with high risk and difficulty</t>
  </si>
  <si>
    <t>Constructible but with high difficulty</t>
  </si>
  <si>
    <t>Constructible with medium difficulty</t>
  </si>
  <si>
    <t>Constructible with low difficulty</t>
  </si>
  <si>
    <t>Easily constructible</t>
  </si>
  <si>
    <t>Maximum pressure is greater than 160mH2O</t>
  </si>
  <si>
    <t>Maximum pressure ranges from 130mH2O to 160mH2O</t>
  </si>
  <si>
    <t>Maximum pressure ranges from 100mH2O to 130mH2O</t>
  </si>
  <si>
    <t>Maximum pressure ranges from 70mH2O to 100mH2O</t>
  </si>
  <si>
    <t>Maximum pressure is below 70mH2O</t>
  </si>
  <si>
    <t>HAZARD HUNTER</t>
  </si>
  <si>
    <t>EQ-Induced Landslide Low Susceptibility @ WTP</t>
  </si>
  <si>
    <t>EQ-Induced Landslide Low-Moderate Susceptibility @ opt4 &amp; opt 2- near antipolo star resort and along hinapao - tagbac road, repectively</t>
  </si>
  <si>
    <t>OPTION 4 - Antipolo Star Resort</t>
  </si>
  <si>
    <t>OPTION 2 - Hinapao - Tagbac Road</t>
  </si>
  <si>
    <t>Intersecting an active fault line for Option A&amp;B (Downstream)</t>
  </si>
  <si>
    <t>Dona Julia Vargas Avenue</t>
  </si>
  <si>
    <t>San Guillermo Avenue</t>
  </si>
  <si>
    <t>EQ-Induced Landslide Low-Moderate Susceptibility @ opt A/B</t>
  </si>
  <si>
    <t>LIQUEFACTION: Low susceptibility to WTP portion and HIGH susceptibility from around barkadahan bridge to downstream.</t>
  </si>
  <si>
    <t>GOOGLE MAPS</t>
  </si>
  <si>
    <t>Live Traffic Data Map</t>
  </si>
  <si>
    <t>https://www.google.com/maps/@14.5723238,121.1006636,12.48z/data=!4m2!6m1!1s1hFVBw9aFQcNCbI5Mv6ntxUdXNpeyBnHB!5m1!1e1</t>
  </si>
  <si>
    <t>SET at Typical Traffic 5-6PM on a Friday. Sample Below, Option 1:</t>
  </si>
  <si>
    <t>Light Traffic</t>
  </si>
  <si>
    <t>Light - Medium Traffic</t>
  </si>
  <si>
    <t>Medium - Heavy Traffic</t>
  </si>
  <si>
    <t>Upstream Options</t>
  </si>
  <si>
    <t>Barkadahan Bridge</t>
  </si>
  <si>
    <t>7.7km ebank</t>
  </si>
  <si>
    <t>Ejercito Avenue</t>
  </si>
  <si>
    <t>9.3km barka bridge</t>
  </si>
  <si>
    <t>A. Sandoval Avenue</t>
  </si>
  <si>
    <t>Mercedes Ave</t>
  </si>
  <si>
    <t>C. Raymundo Ave</t>
  </si>
  <si>
    <t>Dr. Sixto Antonio Avenue</t>
  </si>
  <si>
    <t>Eagle Avenue Bridge</t>
  </si>
  <si>
    <t>Eulogio Rodriguez Jr. Ave</t>
  </si>
  <si>
    <t xml:space="preserve">* Basically almost all parts of downstream are in medium - heavy traffic congestion </t>
  </si>
  <si>
    <t>To be updated</t>
  </si>
  <si>
    <t>updated accdg. to mtg</t>
  </si>
  <si>
    <t>This has a lower impact to other utilities as the tunnel pipeline has a stretch of almost 6km. Hence, this portion might not affect any utilities due to its depth.</t>
  </si>
  <si>
    <t>While generally constructible, the traffic situation and the need to pass through private lot could still be a challenge during construction as this pipeline has a total stretch of 42km. Also, construction of large pipe diameters has a complex construction methodology.</t>
  </si>
  <si>
    <t>This option might cause significant impact to other utilities as this would mostly pass through roadways with large pipe diameters.</t>
  </si>
  <si>
    <t>In accordance to typical traffic congestion using MyMaps, the upstream route of option 2a would cause light to medium traffic congestion due to construction works; however, the downstream portion has significant heavy traffic impact due to slow movement of vehicles in Barkadahan Bridge, Ejercito Ave., A. Sandoval Ave., Mercedes Ave., C. Raymundo Ave., Dr. Sixto Ave., Eagle Ave Bridge, Eulogio Rodriguez Jr. Ave and other roads traversing to Fort Boni and Palingon Reservoir. Hence, this would overall cause paralysis to traffic.</t>
  </si>
  <si>
    <t>This option has lesser risk as this consist a stretch of more or less 36km pipeline with 6-km tunneling works which is more easy to construct as compared to a pure pipelaying construction methodology of large pipe diameters with 42km stretch.</t>
  </si>
  <si>
    <t>While generally constructible, the traffic situation and the need to pass through private lot could still be a challenge during construction as this pipeline has a total stretch of 42km. Also, construction of large pipe diameters has a complex construction methodology as compared to tunneling works.</t>
  </si>
  <si>
    <t>Option 1</t>
  </si>
  <si>
    <t>Option 2</t>
  </si>
  <si>
    <t>Option 3</t>
  </si>
  <si>
    <t>Option 4</t>
  </si>
  <si>
    <t>Option A</t>
  </si>
  <si>
    <t>Option B</t>
  </si>
  <si>
    <t>L. wood road start for OPT 1 (MT)</t>
  </si>
  <si>
    <t>OPT1</t>
  </si>
  <si>
    <t>rizal avenue (MT)</t>
  </si>
  <si>
    <t>HWY 2000 (MT)</t>
  </si>
  <si>
    <t>OPT2</t>
  </si>
  <si>
    <t>M. stantos street (MT)</t>
  </si>
  <si>
    <t>l. Sumulong Memorial Circle (MT-HT)</t>
  </si>
  <si>
    <t>Licos Triangle Park Roundabout (HT)</t>
  </si>
  <si>
    <t>Ortigas Ave Ext (MT)</t>
  </si>
  <si>
    <t>Taytay Rotonda Monument (HT)</t>
  </si>
  <si>
    <t>OPT3</t>
  </si>
  <si>
    <t>E. Rodriguez Avenue (MT)</t>
  </si>
  <si>
    <t>l. Sumulong Memorial Circle (MT-HT) - small portion only unlike OPT2</t>
  </si>
  <si>
    <t>Cabrera Road (MT)</t>
  </si>
  <si>
    <t>OPT 4</t>
  </si>
  <si>
    <t>Roman Rojas Road (MT)</t>
  </si>
  <si>
    <t>Filipinas Ave (MT)</t>
  </si>
  <si>
    <t>Manila East Road (HT</t>
  </si>
  <si>
    <t>Velasquez Street (MT)</t>
  </si>
  <si>
    <t>East Bank Road (MT)</t>
  </si>
  <si>
    <t>Dona Julia Vargas Ave (1No) - Reinforcement Line 900mm</t>
  </si>
  <si>
    <t>Pasig Blvd Ave (1No) - Existing Lindayag Line 1800mm</t>
  </si>
  <si>
    <t>PARALLEL (Seismic Ball Joint)</t>
  </si>
  <si>
    <t>None</t>
  </si>
  <si>
    <t>CROSSINGS (Seismic Joint)</t>
  </si>
  <si>
    <t>TUNNEL</t>
  </si>
  <si>
    <t>Type</t>
  </si>
  <si>
    <t>Tunnel</t>
  </si>
  <si>
    <t>Trenchless</t>
  </si>
  <si>
    <t>Open Cut</t>
  </si>
  <si>
    <t>Total Working Days</t>
  </si>
  <si>
    <t>days</t>
  </si>
  <si>
    <t>Allowance for Non-working  days (Holidays, Sundays, unworkable days)</t>
  </si>
  <si>
    <t>OPT 1</t>
  </si>
  <si>
    <t>Tunneling</t>
  </si>
  <si>
    <t>Taytay Rotonda Monument</t>
  </si>
  <si>
    <t>Location</t>
  </si>
  <si>
    <t>Easement/Private Lot</t>
  </si>
  <si>
    <t xml:space="preserve">Trenchless? </t>
  </si>
  <si>
    <t>2-Lane Roads (Provincial Like)</t>
  </si>
  <si>
    <t>L-Wood Road (2lane about 7meters); Open Cut can give one lane</t>
  </si>
  <si>
    <t>Hwy 200 (4 lanes)</t>
  </si>
  <si>
    <t>Barkadahan Bridge (2 lane)</t>
  </si>
  <si>
    <t>Ejercito Ave (4 lanes) until Tapayan Bridge</t>
  </si>
  <si>
    <t>Ejerctio Avenue after Tapayan Bridge (2 lanes)</t>
  </si>
  <si>
    <t>OptA/B</t>
  </si>
  <si>
    <t>Opt A</t>
  </si>
  <si>
    <t>Opt B</t>
  </si>
  <si>
    <t>East Bank Road (4 lanes)</t>
  </si>
  <si>
    <t>Francisco Legaspi (After Javier Bridge - 2 Lanes)</t>
  </si>
  <si>
    <t>C. Raymundo Up (4 lanes)</t>
  </si>
  <si>
    <t xml:space="preserve">Trenchless </t>
  </si>
  <si>
    <t>Remarks</t>
  </si>
  <si>
    <t>Busy lane kahit 4 lanes</t>
  </si>
  <si>
    <t>Rft Lines</t>
  </si>
  <si>
    <t>Dr. Sixto Avenue (PG6-3 lanes) - 900mm</t>
  </si>
  <si>
    <t>2500mm</t>
  </si>
  <si>
    <t>900mm</t>
  </si>
  <si>
    <t>3500mm</t>
  </si>
  <si>
    <t>Option</t>
  </si>
  <si>
    <t>Dia.</t>
  </si>
  <si>
    <t>Dona Julia Vargas (3-lanes one way)</t>
  </si>
  <si>
    <t>A Luna St. (2-lanes one way)</t>
  </si>
  <si>
    <t>Bagong Calzada (2-lanes)</t>
  </si>
  <si>
    <t>Levi Mariano Avenue (4 lanes)</t>
  </si>
  <si>
    <t>1200mm</t>
  </si>
  <si>
    <t>ALL</t>
  </si>
  <si>
    <t>Opt 1</t>
  </si>
  <si>
    <t xml:space="preserve">Opt </t>
  </si>
  <si>
    <t>PACKAGE</t>
  </si>
  <si>
    <t>WTP to Putting Bato - Roman Rojas Road</t>
  </si>
  <si>
    <t>Allowance of Non-Workable Days</t>
  </si>
  <si>
    <t>Under Bridge</t>
  </si>
  <si>
    <t>OPEN CUT</t>
  </si>
  <si>
    <t>TRENCHLESS</t>
  </si>
  <si>
    <t>OPTION A</t>
  </si>
  <si>
    <t>2500MM</t>
  </si>
  <si>
    <t>1800MM</t>
  </si>
  <si>
    <t>1200MM</t>
  </si>
  <si>
    <t>900MM</t>
  </si>
  <si>
    <t>OPTION B</t>
  </si>
  <si>
    <t>OPTION 1</t>
  </si>
  <si>
    <t>OPTION 2</t>
  </si>
  <si>
    <t>3500MM</t>
  </si>
  <si>
    <t>OPTION 3</t>
  </si>
  <si>
    <t>OPTION 4</t>
  </si>
  <si>
    <t>DOWNSTREAM</t>
  </si>
  <si>
    <t>1500MM</t>
  </si>
  <si>
    <t>600MM</t>
  </si>
  <si>
    <t>UPSTREAM</t>
  </si>
  <si>
    <t>5 gangs</t>
  </si>
  <si>
    <t>10 gangs</t>
  </si>
  <si>
    <t>TOTAL DAYS</t>
  </si>
  <si>
    <t>Construction Duration</t>
  </si>
  <si>
    <t>With large-scale number of work periods needed to complete a highly-complexed construction   but beyond the target completion year</t>
  </si>
  <si>
    <t>Zero complexity on construction and will be completed on time</t>
  </si>
  <si>
    <t>With large-scale number of work periods needed to complete a highly-complexted construction  on time</t>
  </si>
  <si>
    <t>With medium-scale number of work periods needed to complete the construction on time</t>
  </si>
  <si>
    <t>With low-scale number of work periods needed to complete the construction on time</t>
  </si>
  <si>
    <r>
      <t xml:space="preserve">Average Length of Working Area = </t>
    </r>
    <r>
      <rPr>
        <b/>
        <sz val="11"/>
        <color indexed="8"/>
        <rFont val="Calibri"/>
        <family val="2"/>
      </rPr>
      <t>60 meters</t>
    </r>
  </si>
  <si>
    <t>Item of Works</t>
  </si>
  <si>
    <t>Quantity</t>
  </si>
  <si>
    <t>Unit</t>
  </si>
  <si>
    <t>No. of Hours</t>
  </si>
  <si>
    <t>Equipment</t>
  </si>
  <si>
    <t>Productivity Rate</t>
  </si>
  <si>
    <t>Pipe Dia. (9m cutting length)</t>
  </si>
  <si>
    <t>mm</t>
  </si>
  <si>
    <t>Total length (Package 1)</t>
  </si>
  <si>
    <t>lm</t>
  </si>
  <si>
    <t>Concrete Cutting</t>
  </si>
  <si>
    <t>Concrete Cutter</t>
  </si>
  <si>
    <t>lm/hr</t>
  </si>
  <si>
    <t>Trench Length (Work Area)</t>
  </si>
  <si>
    <t>meters</t>
  </si>
  <si>
    <t>Concrete Breaking</t>
  </si>
  <si>
    <t>cu.m.</t>
  </si>
  <si>
    <t>Pavement Breaker</t>
  </si>
  <si>
    <t>cu.m/hr</t>
  </si>
  <si>
    <t>Trench Width</t>
  </si>
  <si>
    <t>Hauling of Excavated Concrete</t>
  </si>
  <si>
    <t>Backhoe</t>
  </si>
  <si>
    <t>Trench Depth</t>
  </si>
  <si>
    <t>Dumptruck</t>
  </si>
  <si>
    <t>Bell Hole Width</t>
  </si>
  <si>
    <t>Excavation</t>
  </si>
  <si>
    <t>Bell Hole Length</t>
  </si>
  <si>
    <t>Bell Hole Depth</t>
  </si>
  <si>
    <t>Trimming</t>
  </si>
  <si>
    <t>Minor Tools</t>
  </si>
  <si>
    <t>Sheet Pile installation</t>
  </si>
  <si>
    <t>Backhoe with attachment</t>
  </si>
  <si>
    <t>Bedding</t>
  </si>
  <si>
    <t>Pipe Laying (Delivery to site, installation, repair of coating, etc)</t>
  </si>
  <si>
    <t>Crane, Truck Mounted Telescopic Boom, 20 Tons capacity</t>
  </si>
  <si>
    <t>No. of areas/transfer</t>
  </si>
  <si>
    <t>Welding Equipment</t>
  </si>
  <si>
    <t>Ultrasonic Tester</t>
  </si>
  <si>
    <t>total working hours</t>
  </si>
  <si>
    <t>hrs</t>
  </si>
  <si>
    <t>Pipe Jointing (welding, testing, repair of coating, etc)</t>
  </si>
  <si>
    <t>Working Hours/day</t>
  </si>
  <si>
    <t>Backfilling &amp; Compaction, FDT (by layers)</t>
  </si>
  <si>
    <t>Total Calendar Days</t>
  </si>
  <si>
    <t>Wheel Loader</t>
  </si>
  <si>
    <t>Walk Behind/Roller</t>
  </si>
  <si>
    <t>Vibratory Plate Compactor</t>
  </si>
  <si>
    <t>for 5 gangs</t>
  </si>
  <si>
    <t>Temporary Asphalt</t>
  </si>
  <si>
    <t>Asphalting equipment</t>
  </si>
  <si>
    <t>for 10 gangs</t>
  </si>
  <si>
    <t>Wheel Roller</t>
  </si>
  <si>
    <t>Moving of Barricades, Traffic Signs</t>
  </si>
  <si>
    <t>Traffic Management</t>
  </si>
  <si>
    <t>Generator Set</t>
  </si>
  <si>
    <t>Total hours/working area</t>
  </si>
  <si>
    <t xml:space="preserve">Comparing to the other upstream options, this option has a lesser risk because of the approx. 5.8km tunnel alignment, where no impact on traffic will incur. </t>
  </si>
  <si>
    <t>This option will incur the greatest impact on traffic as it will pass through some portions the highly-congested L. Sumulong Memorial Circle and Hwy 2000.</t>
  </si>
  <si>
    <t>This option will incur the greatest impact on traffic as it will pass through the highly-congested L. Sumulong Memorial Circle and Hwy 2000 entirely.</t>
  </si>
  <si>
    <t>This option will only cause medium traffic congestion as it mostly traverses through wide roadways with low volume of vehicles.</t>
  </si>
  <si>
    <t>This option would cause considerable impact to society as this will mostly traverse on roadways. The noise due to construction might disturb the community residing nearby.</t>
  </si>
  <si>
    <t>With the route having a total stretch of more or less 20km, massive number of acquisition due to pipe bends are needed. Not only that, but ROW acquisition for private lots (i.e. for PS) and creek crossing are necessary for this option.</t>
  </si>
  <si>
    <t>This option might cause considerable impact to other utilities as this would mostly pass through roadways with large pipe diameters.</t>
  </si>
  <si>
    <t>This has the least risk in hydraulics as this route option will supply water via gravity scheme all throughout.</t>
  </si>
  <si>
    <t>This has the highest risk in hydraulics as it will be needing considerable number of pumps which is 2No with high-stage pump head.</t>
  </si>
  <si>
    <t>This has the highest risk in hydraulics as it will be needing considerable number of pumps which is 3No with high-stage pump head.</t>
  </si>
  <si>
    <t>This option has the highest risk as it would not just need ROW acquisition for pipe bends, creek crossing, and private lots along the pipeline but will also be needing perpetual ROW for tunnel and a massive number of private lots and structures that will be needing compensation as it will be directly affected by the tunneling works. (i.e. residential, commercial, office, cemetery, churches, schools, etc.)</t>
  </si>
  <si>
    <t>While generally constructible via open cut/trenchless methodology, the narrow roadways and the need to pass through private lot could still be a challenge during construction as this pipeline has a total stretch of approximately 20km. Also, construction of large pipe diameters, 2.50 meters in particular, is more complex than that of tunneling works.</t>
  </si>
  <si>
    <t>This option has lesser risk as this consists of a stretch of more or less 15km pipeline with 6-km tunneling works which is more easy to construct as compared to a pure pipelaying construction methodology of large pipe diameters. Despite the aforementioned fact, the score is still similar to Options 2-4 as Option 1 would have to install a 3.5m pipeline along roadways.</t>
  </si>
  <si>
    <t>Although this option will be needing a large-scale number of work periods, this Option will still meet its target completion by year 2025.</t>
  </si>
  <si>
    <t>This has the least risk since its maximum pressure is lower than that of the other options based on initial hydraulic simulation results.</t>
  </si>
  <si>
    <t>This option has the highest risk because the maximum pressure requirement for this route is beyond 80mH2O.</t>
  </si>
  <si>
    <t>This would cause paralysis to traffic due to the series of highly-congested avenues.</t>
  </si>
  <si>
    <t>This has a lesser risk in traffic impact as it will pass through EastBank road, which has a wider roadway with lesser volume of vehicles passing through.</t>
  </si>
  <si>
    <t>This option might need significant ROW acquisition not just because of pipe bends, but also due to bridge/river crossings especially the Barkadahan Bridge.</t>
  </si>
  <si>
    <t>This option might need significant ROW acquisition not just because of pipe bends, but also due to bridge/river crossings especially the Javier Bridge.</t>
  </si>
  <si>
    <t>This option will not need Pump Station with minimal risks to consider.</t>
  </si>
  <si>
    <t>Required hydraulic head attainable without the need for PS and no other hydraulic risks involved</t>
  </si>
  <si>
    <t>Required hydraulic head attainable without the need for PS, but with minimal hydraulic risks to consider</t>
  </si>
  <si>
    <t>Required hydraulic head attainable with minimal number of PS needed and hydraulic risks involved</t>
  </si>
  <si>
    <t>Required hydraulic head attainable with considerable number of PS needed and hydraulic risks involved</t>
  </si>
  <si>
    <t>Required hydraulic head attainable with significant number of PS needed and hydraulic risks involved</t>
  </si>
  <si>
    <t>Based on max pressure</t>
  </si>
  <si>
    <t>Methodology</t>
  </si>
  <si>
    <t>Diameter</t>
  </si>
  <si>
    <t>Length</t>
  </si>
  <si>
    <t>TOTAL</t>
  </si>
  <si>
    <t>Reference: LTE-Flex Table_v4 (SharePoint)</t>
  </si>
  <si>
    <t>*Allowance of Non-Workable Days</t>
  </si>
  <si>
    <t xml:space="preserve">*Tunnel </t>
  </si>
  <si>
    <t>12-18m/day</t>
  </si>
  <si>
    <t>*Trenchless</t>
  </si>
  <si>
    <t>8m/day</t>
  </si>
  <si>
    <t>ASSUMPTIONS CONSIDERED:</t>
  </si>
  <si>
    <t>retained as instructed</t>
  </si>
  <si>
    <t>*Open Cut</t>
  </si>
  <si>
    <t>See Ref for Constr Dur</t>
  </si>
  <si>
    <t>16 working hours / day assumption</t>
  </si>
  <si>
    <t>To change</t>
  </si>
  <si>
    <t>Results</t>
  </si>
  <si>
    <t>2023 construction</t>
  </si>
  <si>
    <t>2025 end</t>
  </si>
  <si>
    <t>LIMIT TO MEET TARGET DATE:</t>
  </si>
  <si>
    <t>Acceptable # of days</t>
  </si>
  <si>
    <t>for a 60m pipelaying</t>
  </si>
  <si>
    <t>MUNICIPALITIES AFFECTED</t>
  </si>
  <si>
    <t>Teresa</t>
  </si>
  <si>
    <t>Angono</t>
  </si>
  <si>
    <t>Taytay</t>
  </si>
  <si>
    <t>Cainta</t>
  </si>
  <si>
    <t>Antipolo</t>
  </si>
  <si>
    <t>15m</t>
  </si>
  <si>
    <t>++?</t>
  </si>
  <si>
    <t>1800mm</t>
  </si>
  <si>
    <t>1500mm</t>
  </si>
  <si>
    <t>600mm</t>
  </si>
  <si>
    <t>1 gang</t>
  </si>
  <si>
    <t>lm / day</t>
  </si>
  <si>
    <t>gangs</t>
  </si>
  <si>
    <t>OPTION</t>
  </si>
  <si>
    <t>TYPE</t>
  </si>
  <si>
    <t>DIA.</t>
  </si>
  <si>
    <t>LENGTH</t>
  </si>
  <si>
    <t>SUMMARY</t>
  </si>
  <si>
    <t>OPT1-WTP to Inlet-OC</t>
  </si>
  <si>
    <t>OPT1-Tunnel-Tunnel</t>
  </si>
  <si>
    <t>OPT1-Outlet to Rotonda-OC</t>
  </si>
  <si>
    <t>OPT1-Rotonda to Barka-TR</t>
  </si>
  <si>
    <t>OPT2-WTP to Hinapao-OC</t>
  </si>
  <si>
    <t>OPT2-Hinapao to LSumu-TR</t>
  </si>
  <si>
    <t>OPT2-LSumu to Rotonda-OC</t>
  </si>
  <si>
    <t>OPT2-Rotonda to Barka-TR</t>
  </si>
  <si>
    <t>OPT3-WTP to RR-OC</t>
  </si>
  <si>
    <t>OPT3-RR to Pump-TR</t>
  </si>
  <si>
    <t>OPT3-Pump to LSumu-OC</t>
  </si>
  <si>
    <t>OPT3-LSumu-TR</t>
  </si>
  <si>
    <t>OPT3-LSumu to Rotonda-OC</t>
  </si>
  <si>
    <t>OPT3-Rotonda to Barka-TR</t>
  </si>
  <si>
    <t>OPT4-WTP to RR-OC</t>
  </si>
  <si>
    <t>OPT4-RR to PrivLot-TR</t>
  </si>
  <si>
    <t>OPT4-PrivLot to Velas-OC</t>
  </si>
  <si>
    <t>OPT4-Velas-TR</t>
  </si>
  <si>
    <t>OPT4-Velas to Barka-OC</t>
  </si>
  <si>
    <t>OPTA-TR</t>
  </si>
  <si>
    <t>OPTAB-ToPalingon-OC</t>
  </si>
  <si>
    <t>OPTAB-ToPalingon-TR</t>
  </si>
  <si>
    <t>Reinforcement</t>
  </si>
  <si>
    <t>OPTB-EastBank-OC</t>
  </si>
  <si>
    <t>OPTB-After Javier-TR</t>
  </si>
  <si>
    <t>Required hydraulic head attainable with significant number of PS needed and hydraulic risks to consider</t>
  </si>
  <si>
    <t>Required hydraulic head attainable with considerable number of PS needed and hydraulic risks to consider</t>
  </si>
  <si>
    <t>Required hydraulic head attainable with minimal number of PS needed and hydraulic risks to consider</t>
  </si>
  <si>
    <t>Required hydraulic head attainable without the need for PS and no hydraulic risks to consider</t>
  </si>
  <si>
    <t>Low-scale transients that will not harm the system</t>
  </si>
  <si>
    <t>Completely no surges</t>
  </si>
  <si>
    <t>Scoring based on considerable-scale of transient heads</t>
  </si>
  <si>
    <t>This option will cause medium traffic as it will pass through only some portions the highly-congested L. Sumulong Memorial Circle and Hwy 2000.</t>
  </si>
  <si>
    <t>This has a higher impact to community compared to other options since other than the effect to the health of the people due to the pipe construction on roadways, an added significant impact to society might occur in the construction of tunnel alignment portion as this will pass through series of residential, office, commercial and other properties which can disturb the people nearby.</t>
  </si>
  <si>
    <t>This option would cause considerable impact to society as this will mostly traverse on roadways. The noise due to construction might disturb the community residing nearby and the air pollution could potentially harm the human health.</t>
  </si>
  <si>
    <t>This option has the highest risk as it would not just need ROW acquisition for pipe bends, creek easement, bridge crossings and private lots along the pipeline but will also be needing perpetual ROW for tunnel and a massive number of private lots and structures that will be needing compensation as it will be directly affected by the tunneling works. (i.e. residential, commercial, office, cemetery, churches, schools, etc.)</t>
  </si>
  <si>
    <t>With the route having a total stretch of more or less 20km, massive number of acquisition due to pipe bends are needed. Not only that, but ROW acquisition for private lots (i.e. for PS) and creek/river crossings are necessary for this option.</t>
  </si>
  <si>
    <t>This option might cause lesser impact to other utilities compared to options 2 and 3 as this alignment need not to pass through Hwy 2000 as it will be coming from Velasquez St. instead.</t>
  </si>
  <si>
    <t>This has the least risk in hydraulics as this route option will supply water via gravity scheme all throughout the alignment.</t>
  </si>
  <si>
    <t>Although this option will be needing a large-scale number of work periods, this option will still meet its target completion by year 2025.</t>
  </si>
  <si>
    <t>This would cause paralysis to traffic due to the series of highly-congested avenues that a 2.50m pipe diameter will have to traverse to.</t>
  </si>
  <si>
    <t>This has a lesser risk in traffic impact as it will pass through EastBank road, which has a wider roadway or a space for the 2.50m pipe diameter.</t>
  </si>
  <si>
    <t>This option might need significant ROW acquisition not just because of pipe bends, but also due to bridge/river crossings like the Javier Bridge, Sandoval Bridge and A. Luna St. Bridge.</t>
  </si>
  <si>
    <t>This option might need significant ROW acquisition not just because of pipe bends, but also due to major bridge/river crossings like the Barkadahan Bridge, Sandoval Bridge and A. Luna St. Bridge.</t>
  </si>
  <si>
    <t>This option might cause considerable impact to other utilities as this would mostly pass through roadways with large pipe diameters (2.5m max).</t>
  </si>
  <si>
    <t xml:space="preserve">Although this option would not need a pump station, minimal hydraulic risks must still be consider. </t>
  </si>
  <si>
    <t xml:space="preserve">While generally constructible via open cut/trenchless methodology, the narrow roadways and high volume of traffic could still impose a significant challenge during construction due to its large pipe diameter (2.5m). </t>
  </si>
  <si>
    <t>While generally constructible via open cut/trenchless methodology, the narrow roadways and high volume of traffic could still impose a significant challenge during construction due to its large pipe diameter (2.5m). This has a lesser risk as this mostly has a straight route alignment unlike the significant number of curved roads that Option A alignment has to traverse to.</t>
  </si>
  <si>
    <t>With catastrophic impact to community</t>
  </si>
  <si>
    <t>With significant impact to community</t>
  </si>
  <si>
    <t>With considerable impact to community</t>
  </si>
  <si>
    <t>With low impact to community</t>
  </si>
  <si>
    <t>Zero impact to community</t>
  </si>
  <si>
    <t>With catastrophic impact to other utilities</t>
  </si>
  <si>
    <t>With considerable impact to other utilities</t>
  </si>
  <si>
    <t>With low impact to other utilities</t>
  </si>
  <si>
    <t>Zero impact to other utilities</t>
  </si>
  <si>
    <t>Considerable-scale transients that could potentially damage the system and surge protections are required</t>
  </si>
  <si>
    <t>High-scale transients that could potentially damage the system and surge protections are required</t>
  </si>
  <si>
    <t>Extreme-scale transients that could potentially damage the system and a significant number of surge protections are required</t>
  </si>
  <si>
    <t>Although an opencut steel pipeline of 3500mm is proposed to be installed from Kaliwa Reservoir until the tunnel's outlet portal, this option still has a lower impact to other utilities as the tunnel pipeline has a stretch of almost 6km. Hence, this portion might not affect any existing utilities due to its depth extent requirement. It is also important to note that this alignment will traverse through Hwy 2000, which is along the same alignment of the lateral pipeline of the proposed East Manggahan Project of MWCI. This might cause potential clash of both proposed pipelines.</t>
  </si>
  <si>
    <t>This option might cause considerable impact to other utilities as this would mostly pass through roadways with large pipe diameters. It is also important to note that this alignment will traverse through Hwy 2000, which is along the same alignment of the lateral pipeline of the proposed East Manggahan Project of MWCI. This might cause potential clash of both proposed pipelines.</t>
  </si>
  <si>
    <t>This option might cause considerable impact to other utilities as this would mostly pass through roadways with large pipe diameters.  It is also important to note that this alignment will traverse through Hwy 2000, which is along the same alignment of the lateral pipeline of the proposed East Manggahan Project of MWCI. This might cause potential clash of both proposed pipelines.</t>
  </si>
  <si>
    <t>This option has the higher risk because the maximum pressure requirement for this route is beyond 80mH2O.</t>
  </si>
  <si>
    <t>TERESA</t>
  </si>
  <si>
    <t>TAYTAY</t>
  </si>
  <si>
    <t>ANTIPOLO</t>
  </si>
  <si>
    <t>MUNICIPALITY</t>
  </si>
  <si>
    <t>-</t>
  </si>
  <si>
    <t>Municipality</t>
  </si>
  <si>
    <t>PASIG</t>
  </si>
  <si>
    <t>TAGUIG</t>
  </si>
  <si>
    <t>OPTION 1B</t>
  </si>
  <si>
    <t>OPTION 3B</t>
  </si>
  <si>
    <t>OPT1B</t>
  </si>
  <si>
    <t>OPT3B</t>
  </si>
  <si>
    <t>This option will be needing a large-scale number of work periods. Although tunneling could be finished within the time frame, risks due to ROW negotiations and permitting might impact the construction timeline of extending and going beyond target completion year of 2025.</t>
  </si>
  <si>
    <t>No. of Gangs</t>
  </si>
  <si>
    <t>opt3</t>
  </si>
  <si>
    <t>opt1</t>
  </si>
  <si>
    <t>optb</t>
  </si>
  <si>
    <t>While generally constructible via open cut/trenchless methodology, the narrow roadways, medium-high volume of traffic, and the need to pass through private lot could still impose a significant challenge during construction due to its large pipe diameter (2.5m-2.6m).</t>
  </si>
  <si>
    <t>While generally constructible via open cut/trenchless methodology, the narrow roadways, medium-high volume of traffic, and the need to pass through private lot could still impose a significant challenge during construction due to its large pipe diameter (2.5m-3.0m). Another challenge to take note for this option is the construction complexity of tunnel.</t>
  </si>
  <si>
    <t>Along East Bank Road</t>
  </si>
  <si>
    <t>Along Ortigas Avenue</t>
  </si>
  <si>
    <t>Ebank Road</t>
  </si>
  <si>
    <t>Ortigas Avenue</t>
  </si>
  <si>
    <t>RCX-8</t>
  </si>
  <si>
    <t>RCX-9</t>
  </si>
  <si>
    <t>RCX-10</t>
  </si>
  <si>
    <t>RCX-14</t>
  </si>
  <si>
    <t>RCX-15</t>
  </si>
  <si>
    <t>RCX-16</t>
  </si>
  <si>
    <t>RCX-17</t>
  </si>
  <si>
    <t>1000 (reinforcement)</t>
  </si>
  <si>
    <t>RCX-6</t>
  </si>
  <si>
    <t>RCX-7</t>
  </si>
  <si>
    <t>This would cause paralysis to traffic due to the series of highly-congested avenues that a 2.40m pipe diameter will have to traverse to.</t>
  </si>
  <si>
    <t>This option might need minimal ROW acquisition for bridge/river crossings.  (Number of bridge/river crossings = 2)</t>
  </si>
  <si>
    <t>Ease of Operation</t>
  </si>
  <si>
    <t xml:space="preserve">While generally constructible via open cut/trenchless methodology, the  volume of traffic could still impose a medium difficulty during construction specially with its large pipe diameter. This option has a lesser risk compared to the Ortigas Avenue alignment. </t>
  </si>
  <si>
    <t xml:space="preserve">While generally constructible via open cut/trenchless methodology, the high volume of traffic and existing utilities could still impose a high risk and difficulty during construction specially with its large pipe diameter. </t>
  </si>
  <si>
    <t>This option might cause considerable impact to other utilities as this would mostly pass through roadways with large pipe diameters (2.5m max).
(existing pipeline, drainage and proposed sewerage system)</t>
  </si>
  <si>
    <t>This option might cause significant impact to other utilities as this would mostly pass through roadways with large pipe diameters (2.4m max).
(existing pipeline, drainage and proposed MRT 4)</t>
  </si>
  <si>
    <t>Although this option will be needing a large-scale number of work periods, this Option will still meet its target completion.</t>
  </si>
  <si>
    <t>Upon identification of geohazards of the route options through HazardHunter PH, we have observed that both the proposed route options have the same susceptibility to one geohazards; namely, liquefaction.</t>
  </si>
  <si>
    <t>This has a lesser risk in traffic impact as it will pass through EastBank road.</t>
  </si>
  <si>
    <t>This option might need significant ROW acquisition for bridge/river crossings. (Number of bridge/river crossings = 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</si>
</sst>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_(* #,##0.00_);_(* \(#,##0.00\);_(* &quot;-&quot;??_);_(@_)"/>
    <numFmt numFmtId="165" formatCode="0.000"/>
    <numFmt numFmtId="166" formatCode="0.0"/>
    <numFmt numFmtId="167" formatCode="_ * #,##0.00_ ;_ * \-#,##0.00_ ;_ * &quot;-&quot;??_ ;_ @_ "/>
  </numFmts>
  <fonts count="59" x14ac:knownFonts="1">
    <font>
      <sz val="11"/>
      <color theme="1"/>
      <name val="Calibri"/>
      <family val="2"/>
      <scheme val="minor"/>
    </font>
    <font>
      <sz val="10"/>
      <color theme="1"/>
      <name val="Arial"/>
      <family val="2"/>
    </font>
    <font>
      <b/>
      <sz val="10"/>
      <color rgb="FFFFFFFF"/>
      <name val="Arial"/>
      <family val="2"/>
    </font>
    <font>
      <sz val="10"/>
      <name val="Arial"/>
      <family val="2"/>
    </font>
    <font>
      <b/>
      <sz val="10"/>
      <color theme="0"/>
      <name val="Arial"/>
      <family val="2"/>
    </font>
    <font>
      <b/>
      <sz val="10"/>
      <name val="Arial"/>
      <family val="2"/>
    </font>
    <font>
      <b/>
      <sz val="12"/>
      <name val="Arial"/>
      <family val="2"/>
    </font>
    <font>
      <b/>
      <sz val="12"/>
      <color theme="0"/>
      <name val="Arial"/>
      <family val="2"/>
    </font>
    <font>
      <sz val="11"/>
      <color theme="1"/>
      <name val="Calibri"/>
      <family val="2"/>
      <scheme val="minor"/>
    </font>
    <font>
      <sz val="10"/>
      <name val="MS Sans Serif"/>
      <family val="2"/>
    </font>
    <font>
      <sz val="11"/>
      <color theme="1"/>
      <name val="Arial"/>
      <family val="2"/>
    </font>
    <font>
      <b/>
      <sz val="11"/>
      <color theme="1"/>
      <name val="Arial"/>
      <family val="2"/>
    </font>
    <font>
      <b/>
      <sz val="12"/>
      <color theme="1"/>
      <name val="Arial"/>
      <family val="2"/>
    </font>
    <font>
      <b/>
      <sz val="11"/>
      <color theme="0"/>
      <name val="Arial"/>
      <family val="2"/>
    </font>
    <font>
      <sz val="11"/>
      <color theme="0"/>
      <name val="Arial"/>
      <family val="2"/>
    </font>
    <font>
      <sz val="12"/>
      <color theme="1"/>
      <name val="Arial"/>
      <family val="2"/>
    </font>
    <font>
      <b/>
      <sz val="11"/>
      <color theme="1"/>
      <name val="Calibri"/>
      <family val="2"/>
      <scheme val="minor"/>
    </font>
    <font>
      <b/>
      <sz val="18"/>
      <color theme="0"/>
      <name val="Agency FB"/>
      <family val="2"/>
    </font>
    <font>
      <i/>
      <sz val="11"/>
      <color theme="1"/>
      <name val="Calibri"/>
      <family val="2"/>
      <scheme val="minor"/>
    </font>
    <font>
      <u/>
      <sz val="11"/>
      <color theme="10"/>
      <name val="Calibri"/>
      <family val="2"/>
      <scheme val="minor"/>
    </font>
    <font>
      <sz val="9"/>
      <color indexed="81"/>
      <name val="Tahoma"/>
      <family val="2"/>
    </font>
    <font>
      <b/>
      <sz val="9"/>
      <color indexed="81"/>
      <name val="Tahoma"/>
      <family val="2"/>
    </font>
    <font>
      <b/>
      <sz val="8"/>
      <color theme="1"/>
      <name val="Arial"/>
      <family val="2"/>
    </font>
    <font>
      <sz val="8"/>
      <name val="Arial"/>
      <family val="2"/>
    </font>
    <font>
      <sz val="8"/>
      <color theme="1"/>
      <name val="Arial"/>
      <family val="2"/>
    </font>
    <font>
      <sz val="7"/>
      <color theme="1"/>
      <name val="Arial"/>
      <family val="2"/>
    </font>
    <font>
      <b/>
      <sz val="7"/>
      <color theme="1"/>
      <name val="Arial"/>
      <family val="2"/>
    </font>
    <font>
      <b/>
      <sz val="6"/>
      <color rgb="FFFFFFFF"/>
      <name val="Arial"/>
      <family val="2"/>
    </font>
    <font>
      <sz val="6"/>
      <name val="Arial"/>
      <family val="2"/>
    </font>
    <font>
      <b/>
      <sz val="6"/>
      <color theme="0"/>
      <name val="Arial"/>
      <family val="2"/>
    </font>
    <font>
      <b/>
      <sz val="6"/>
      <name val="Arial"/>
      <family val="2"/>
    </font>
    <font>
      <b/>
      <sz val="11"/>
      <color theme="0"/>
      <name val="Calibri"/>
      <family val="2"/>
      <scheme val="minor"/>
    </font>
    <font>
      <sz val="11"/>
      <color theme="0"/>
      <name val="Calibri"/>
      <family val="2"/>
      <scheme val="minor"/>
    </font>
    <font>
      <b/>
      <sz val="11"/>
      <color rgb="FFFF0000"/>
      <name val="Calibri"/>
      <family val="2"/>
      <scheme val="minor"/>
    </font>
    <font>
      <b/>
      <sz val="11"/>
      <name val="Calibri"/>
      <family val="2"/>
      <scheme val="minor"/>
    </font>
    <font>
      <b/>
      <sz val="11"/>
      <color rgb="FFD60000"/>
      <name val="Calibri"/>
      <family val="2"/>
      <scheme val="minor"/>
    </font>
    <font>
      <sz val="8"/>
      <color rgb="FF000000"/>
      <name val="Arial"/>
      <family val="2"/>
    </font>
    <font>
      <b/>
      <sz val="11"/>
      <color indexed="8"/>
      <name val="Calibri"/>
      <family val="2"/>
    </font>
    <font>
      <sz val="11"/>
      <color theme="9" tint="-0.249977111117893"/>
      <name val="Calibri"/>
      <family val="2"/>
      <scheme val="minor"/>
    </font>
    <font>
      <sz val="9"/>
      <color theme="1"/>
      <name val="Calibri"/>
      <family val="2"/>
      <scheme val="minor"/>
    </font>
    <font>
      <b/>
      <sz val="9"/>
      <color theme="1"/>
      <name val="Calibri"/>
      <family val="2"/>
      <scheme val="minor"/>
    </font>
    <font>
      <i/>
      <sz val="9"/>
      <color rgb="FFFF0000"/>
      <name val="Calibri"/>
      <family val="2"/>
      <scheme val="minor"/>
    </font>
    <font>
      <b/>
      <sz val="9"/>
      <name val="Calibri"/>
      <family val="2"/>
      <scheme val="minor"/>
    </font>
    <font>
      <sz val="9"/>
      <name val="Calibri"/>
      <family val="2"/>
      <scheme val="minor"/>
    </font>
    <font>
      <b/>
      <i/>
      <sz val="9"/>
      <color theme="4" tint="-0.499984740745262"/>
      <name val="Calibri"/>
      <family val="2"/>
      <scheme val="minor"/>
    </font>
    <font>
      <sz val="11"/>
      <color theme="4" tint="-0.499984740745262"/>
      <name val="Calibri"/>
      <family val="2"/>
      <scheme val="minor"/>
    </font>
    <font>
      <b/>
      <sz val="9"/>
      <color theme="4" tint="-0.499984740745262"/>
      <name val="Calibri"/>
      <family val="2"/>
      <scheme val="minor"/>
    </font>
    <font>
      <sz val="9"/>
      <color theme="4" tint="-0.499984740745262"/>
      <name val="Calibri"/>
      <family val="2"/>
      <scheme val="minor"/>
    </font>
    <font>
      <b/>
      <sz val="28"/>
      <color theme="0"/>
      <name val="Calibri"/>
      <family val="2"/>
      <scheme val="minor"/>
    </font>
    <font>
      <b/>
      <sz val="11"/>
      <color theme="8" tint="0.79998168889431442"/>
      <name val="Calibri"/>
      <family val="2"/>
      <scheme val="minor"/>
    </font>
    <font>
      <b/>
      <sz val="11"/>
      <color rgb="FFFFFFCC"/>
      <name val="Calibri"/>
      <family val="2"/>
      <scheme val="minor"/>
    </font>
    <font>
      <b/>
      <sz val="9"/>
      <color theme="4" tint="-0.249977111117893"/>
      <name val="Calibri"/>
      <family val="2"/>
      <scheme val="minor"/>
    </font>
    <font>
      <b/>
      <sz val="9"/>
      <color theme="0"/>
      <name val="Calibri"/>
      <family val="2"/>
      <scheme val="minor"/>
    </font>
    <font>
      <b/>
      <sz val="12"/>
      <color theme="0"/>
      <name val="Calibri"/>
      <family val="2"/>
      <scheme val="minor"/>
    </font>
    <font>
      <b/>
      <i/>
      <sz val="9"/>
      <color theme="1"/>
      <name val="Calibri"/>
      <family val="2"/>
      <scheme val="minor"/>
    </font>
    <font>
      <sz val="9"/>
      <color rgb="FFFF0000"/>
      <name val="Calibri"/>
      <family val="2"/>
      <scheme val="minor"/>
    </font>
    <font>
      <sz val="11"/>
      <name val="Calibri"/>
      <family val="2"/>
      <scheme val="minor"/>
    </font>
    <font>
      <b/>
      <i/>
      <sz val="9"/>
      <color theme="0"/>
      <name val="Calibri"/>
      <family val="2"/>
      <scheme val="minor"/>
    </font>
    <font>
      <sz val="8"/>
      <name val="Calibri"/>
      <family val="2"/>
      <scheme val="minor"/>
    </font>
  </fonts>
  <fills count="30">
    <fill>
      <patternFill patternType="none"/>
    </fill>
    <fill>
      <patternFill patternType="gray125"/>
    </fill>
    <fill>
      <patternFill patternType="solid">
        <fgColor theme="0"/>
        <bgColor indexed="64"/>
      </patternFill>
    </fill>
    <fill>
      <patternFill patternType="solid">
        <fgColor rgb="FFE4610F"/>
        <bgColor indexed="64"/>
      </patternFill>
    </fill>
    <fill>
      <patternFill patternType="solid">
        <fgColor theme="1" tint="0.499984740745262"/>
        <bgColor indexed="64"/>
      </patternFill>
    </fill>
    <fill>
      <patternFill patternType="solid">
        <fgColor theme="0" tint="-4.9989318521683403E-2"/>
        <bgColor indexed="64"/>
      </patternFill>
    </fill>
    <fill>
      <patternFill patternType="solid">
        <fgColor rgb="FFFFFF00"/>
        <bgColor indexed="64"/>
      </patternFill>
    </fill>
    <fill>
      <patternFill patternType="solid">
        <fgColor rgb="FFFFFFCC"/>
        <bgColor indexed="64"/>
      </patternFill>
    </fill>
    <fill>
      <patternFill patternType="solid">
        <fgColor theme="0" tint="-0.14999847407452621"/>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rgb="FF00E621"/>
        <bgColor indexed="64"/>
      </patternFill>
    </fill>
    <fill>
      <patternFill patternType="solid">
        <fgColor theme="6" tint="0.79998168889431442"/>
        <bgColor indexed="64"/>
      </patternFill>
    </fill>
    <fill>
      <patternFill patternType="solid">
        <fgColor rgb="FFFFF2CC"/>
        <bgColor rgb="FF000000"/>
      </patternFill>
    </fill>
    <fill>
      <patternFill patternType="solid">
        <fgColor theme="8" tint="0.79998168889431442"/>
        <bgColor indexed="64"/>
      </patternFill>
    </fill>
    <fill>
      <patternFill patternType="solid">
        <fgColor theme="0" tint="-0.499984740745262"/>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rgb="FF00B0F0"/>
        <bgColor indexed="64"/>
      </patternFill>
    </fill>
    <fill>
      <patternFill patternType="solid">
        <fgColor theme="2"/>
        <bgColor indexed="64"/>
      </patternFill>
    </fill>
    <fill>
      <patternFill patternType="solid">
        <fgColor theme="1" tint="0.34998626667073579"/>
        <bgColor indexed="64"/>
      </patternFill>
    </fill>
    <fill>
      <patternFill patternType="solid">
        <fgColor rgb="FFFFC000"/>
        <bgColor indexed="64"/>
      </patternFill>
    </fill>
    <fill>
      <patternFill patternType="solid">
        <fgColor theme="6" tint="0.39997558519241921"/>
        <bgColor indexed="64"/>
      </patternFill>
    </fill>
    <fill>
      <patternFill patternType="solid">
        <fgColor theme="1" tint="4.9989318521683403E-2"/>
        <bgColor indexed="64"/>
      </patternFill>
    </fill>
    <fill>
      <patternFill patternType="solid">
        <fgColor theme="0" tint="-0.249977111117893"/>
        <bgColor indexed="64"/>
      </patternFill>
    </fill>
    <fill>
      <patternFill patternType="solid">
        <fgColor rgb="FFD05400"/>
        <bgColor indexed="64"/>
      </patternFill>
    </fill>
    <fill>
      <patternFill patternType="solid">
        <fgColor theme="6" tint="-0.499984740745262"/>
        <bgColor indexed="64"/>
      </patternFill>
    </fill>
    <fill>
      <patternFill patternType="solid">
        <fgColor theme="2" tint="-0.749992370372631"/>
        <bgColor indexed="64"/>
      </patternFill>
    </fill>
    <fill>
      <patternFill patternType="solid">
        <fgColor rgb="FFE60000"/>
        <bgColor indexed="64"/>
      </patternFill>
    </fill>
    <fill>
      <patternFill patternType="solid">
        <fgColor rgb="FF00B050"/>
        <bgColor indexed="64"/>
      </patternFill>
    </fill>
  </fills>
  <borders count="88">
    <border>
      <left/>
      <right/>
      <top/>
      <bottom/>
      <diagonal/>
    </border>
    <border>
      <left style="dotted">
        <color indexed="64"/>
      </left>
      <right/>
      <top style="medium">
        <color indexed="64"/>
      </top>
      <bottom style="dotted">
        <color indexed="64"/>
      </bottom>
      <diagonal/>
    </border>
    <border>
      <left/>
      <right style="dotted">
        <color indexed="64"/>
      </right>
      <top style="medium">
        <color indexed="64"/>
      </top>
      <bottom style="dotted">
        <color indexed="64"/>
      </bottom>
      <diagonal/>
    </border>
    <border>
      <left/>
      <right style="medium">
        <color indexed="64"/>
      </right>
      <top style="medium">
        <color indexed="64"/>
      </top>
      <bottom style="dotted">
        <color indexed="64"/>
      </bottom>
      <diagonal/>
    </border>
    <border>
      <left style="medium">
        <color indexed="64"/>
      </left>
      <right style="dotted">
        <color indexed="64"/>
      </right>
      <top style="medium">
        <color indexed="64"/>
      </top>
      <bottom/>
      <diagonal/>
    </border>
    <border>
      <left style="dotted">
        <color indexed="64"/>
      </left>
      <right style="dotted">
        <color indexed="64"/>
      </right>
      <top style="medium">
        <color indexed="64"/>
      </top>
      <bottom/>
      <diagonal/>
    </border>
    <border>
      <left style="medium">
        <color indexed="64"/>
      </left>
      <right/>
      <top style="medium">
        <color indexed="64"/>
      </top>
      <bottom style="dotted">
        <color indexed="64"/>
      </bottom>
      <diagonal/>
    </border>
    <border>
      <left style="medium">
        <color indexed="64"/>
      </left>
      <right style="dotted">
        <color indexed="64"/>
      </right>
      <top style="medium">
        <color indexed="64"/>
      </top>
      <bottom style="medium">
        <color indexed="64"/>
      </bottom>
      <diagonal/>
    </border>
    <border>
      <left style="dotted">
        <color indexed="64"/>
      </left>
      <right style="dotted">
        <color indexed="64"/>
      </right>
      <top style="medium">
        <color indexed="64"/>
      </top>
      <bottom style="medium">
        <color indexed="64"/>
      </bottom>
      <diagonal/>
    </border>
    <border>
      <left style="dotted">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dotted">
        <color indexed="64"/>
      </bottom>
      <diagonal/>
    </border>
    <border>
      <left/>
      <right style="dotted">
        <color indexed="64"/>
      </right>
      <top style="medium">
        <color indexed="64"/>
      </top>
      <bottom style="medium">
        <color indexed="64"/>
      </bottom>
      <diagonal/>
    </border>
    <border>
      <left/>
      <right style="hair">
        <color indexed="64"/>
      </right>
      <top style="medium">
        <color indexed="64"/>
      </top>
      <bottom style="dotted">
        <color indexed="64"/>
      </bottom>
      <diagonal/>
    </border>
    <border>
      <left style="dotted">
        <color indexed="64"/>
      </left>
      <right style="hair">
        <color indexed="64"/>
      </right>
      <top style="medium">
        <color indexed="64"/>
      </top>
      <bottom style="medium">
        <color indexed="64"/>
      </bottom>
      <diagonal/>
    </border>
    <border>
      <left style="medium">
        <color indexed="64"/>
      </left>
      <right style="dotted">
        <color indexed="64"/>
      </right>
      <top/>
      <bottom/>
      <diagonal/>
    </border>
    <border>
      <left style="dotted">
        <color indexed="64"/>
      </left>
      <right style="dotted">
        <color indexed="64"/>
      </right>
      <top/>
      <bottom/>
      <diagonal/>
    </border>
    <border>
      <left style="dotted">
        <color indexed="64"/>
      </left>
      <right style="hair">
        <color indexed="64"/>
      </right>
      <top/>
      <bottom/>
      <diagonal/>
    </border>
    <border>
      <left/>
      <right style="dotted">
        <color indexed="64"/>
      </right>
      <top/>
      <bottom/>
      <diagonal/>
    </border>
    <border>
      <left style="dotted">
        <color indexed="64"/>
      </left>
      <right style="medium">
        <color indexed="64"/>
      </right>
      <top/>
      <bottom/>
      <diagonal/>
    </border>
    <border>
      <left style="medium">
        <color indexed="64"/>
      </left>
      <right style="hair">
        <color indexed="64"/>
      </right>
      <top style="medium">
        <color indexed="64"/>
      </top>
      <bottom style="hair">
        <color indexed="64"/>
      </bottom>
      <diagonal/>
    </border>
    <border>
      <left style="hair">
        <color indexed="64"/>
      </left>
      <right style="hair">
        <color indexed="64"/>
      </right>
      <top style="medium">
        <color indexed="64"/>
      </top>
      <bottom style="hair">
        <color indexed="64"/>
      </bottom>
      <diagonal/>
    </border>
    <border>
      <left style="hair">
        <color indexed="64"/>
      </left>
      <right style="medium">
        <color indexed="64"/>
      </right>
      <top style="medium">
        <color indexed="64"/>
      </top>
      <bottom style="hair">
        <color indexed="64"/>
      </bottom>
      <diagonal/>
    </border>
    <border>
      <left style="medium">
        <color indexed="64"/>
      </left>
      <right style="hair">
        <color indexed="64"/>
      </right>
      <top style="hair">
        <color indexed="64"/>
      </top>
      <bottom style="hair">
        <color indexed="64"/>
      </bottom>
      <diagonal/>
    </border>
    <border>
      <left style="hair">
        <color indexed="64"/>
      </left>
      <right style="hair">
        <color indexed="64"/>
      </right>
      <top style="hair">
        <color indexed="64"/>
      </top>
      <bottom style="hair">
        <color indexed="64"/>
      </bottom>
      <diagonal/>
    </border>
    <border>
      <left style="hair">
        <color indexed="64"/>
      </left>
      <right style="medium">
        <color indexed="64"/>
      </right>
      <top style="hair">
        <color indexed="64"/>
      </top>
      <bottom style="hair">
        <color indexed="64"/>
      </bottom>
      <diagonal/>
    </border>
    <border>
      <left style="medium">
        <color indexed="64"/>
      </left>
      <right style="hair">
        <color indexed="64"/>
      </right>
      <top style="hair">
        <color indexed="64"/>
      </top>
      <bottom style="medium">
        <color indexed="64"/>
      </bottom>
      <diagonal/>
    </border>
    <border>
      <left style="hair">
        <color indexed="64"/>
      </left>
      <right style="hair">
        <color indexed="64"/>
      </right>
      <top style="hair">
        <color indexed="64"/>
      </top>
      <bottom style="medium">
        <color indexed="64"/>
      </bottom>
      <diagonal/>
    </border>
    <border>
      <left style="hair">
        <color indexed="64"/>
      </left>
      <right style="medium">
        <color indexed="64"/>
      </right>
      <top style="hair">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medium">
        <color indexed="64"/>
      </left>
      <right style="thin">
        <color indexed="64"/>
      </right>
      <top/>
      <bottom style="medium">
        <color indexed="64"/>
      </bottom>
      <diagonal/>
    </border>
    <border>
      <left style="medium">
        <color indexed="64"/>
      </left>
      <right style="hair">
        <color indexed="64"/>
      </right>
      <top style="hair">
        <color indexed="64"/>
      </top>
      <bottom/>
      <diagonal/>
    </border>
    <border>
      <left style="hair">
        <color indexed="64"/>
      </left>
      <right style="hair">
        <color indexed="64"/>
      </right>
      <top style="hair">
        <color indexed="64"/>
      </top>
      <bottom/>
      <diagonal/>
    </border>
    <border>
      <left style="hair">
        <color indexed="64"/>
      </left>
      <right style="medium">
        <color indexed="64"/>
      </right>
      <top style="hair">
        <color indexed="64"/>
      </top>
      <bottom/>
      <diagonal/>
    </border>
    <border>
      <left style="medium">
        <color indexed="64"/>
      </left>
      <right style="hair">
        <color indexed="64"/>
      </right>
      <top style="medium">
        <color indexed="64"/>
      </top>
      <bottom style="medium">
        <color indexed="64"/>
      </bottom>
      <diagonal/>
    </border>
    <border>
      <left style="hair">
        <color indexed="64"/>
      </left>
      <right style="hair">
        <color indexed="64"/>
      </right>
      <top style="medium">
        <color indexed="64"/>
      </top>
      <bottom style="medium">
        <color indexed="64"/>
      </bottom>
      <diagonal/>
    </border>
    <border>
      <left style="hair">
        <color indexed="64"/>
      </left>
      <right style="medium">
        <color indexed="64"/>
      </right>
      <top style="medium">
        <color indexed="64"/>
      </top>
      <bottom style="medium">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style="thin">
        <color indexed="64"/>
      </left>
      <right/>
      <top style="thin">
        <color indexed="64"/>
      </top>
      <bottom style="medium">
        <color indexed="64"/>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thin">
        <color indexed="64"/>
      </right>
      <top/>
      <bottom style="medium">
        <color indexed="64"/>
      </bottom>
      <diagonal/>
    </border>
    <border>
      <left style="thin">
        <color auto="1"/>
      </left>
      <right style="hair">
        <color auto="1"/>
      </right>
      <top style="thin">
        <color auto="1"/>
      </top>
      <bottom style="hair">
        <color auto="1"/>
      </bottom>
      <diagonal/>
    </border>
    <border>
      <left style="hair">
        <color auto="1"/>
      </left>
      <right style="hair">
        <color auto="1"/>
      </right>
      <top style="thin">
        <color auto="1"/>
      </top>
      <bottom style="hair">
        <color auto="1"/>
      </bottom>
      <diagonal/>
    </border>
    <border>
      <left style="hair">
        <color auto="1"/>
      </left>
      <right style="thin">
        <color auto="1"/>
      </right>
      <top style="thin">
        <color auto="1"/>
      </top>
      <bottom style="hair">
        <color auto="1"/>
      </bottom>
      <diagonal/>
    </border>
    <border>
      <left style="thin">
        <color auto="1"/>
      </left>
      <right style="hair">
        <color auto="1"/>
      </right>
      <top style="hair">
        <color auto="1"/>
      </top>
      <bottom style="hair">
        <color auto="1"/>
      </bottom>
      <diagonal/>
    </border>
    <border>
      <left style="hair">
        <color auto="1"/>
      </left>
      <right style="thin">
        <color auto="1"/>
      </right>
      <top style="hair">
        <color auto="1"/>
      </top>
      <bottom style="hair">
        <color auto="1"/>
      </bottom>
      <diagonal/>
    </border>
    <border>
      <left style="thin">
        <color auto="1"/>
      </left>
      <right style="hair">
        <color auto="1"/>
      </right>
      <top style="hair">
        <color auto="1"/>
      </top>
      <bottom style="thin">
        <color auto="1"/>
      </bottom>
      <diagonal/>
    </border>
    <border>
      <left style="hair">
        <color auto="1"/>
      </left>
      <right style="hair">
        <color auto="1"/>
      </right>
      <top style="hair">
        <color auto="1"/>
      </top>
      <bottom style="thin">
        <color auto="1"/>
      </bottom>
      <diagonal/>
    </border>
    <border>
      <left style="thin">
        <color indexed="64"/>
      </left>
      <right style="dotted">
        <color indexed="64"/>
      </right>
      <top style="thin">
        <color indexed="64"/>
      </top>
      <bottom style="thin">
        <color indexed="64"/>
      </bottom>
      <diagonal/>
    </border>
    <border>
      <left style="dotted">
        <color indexed="64"/>
      </left>
      <right style="dotted">
        <color indexed="64"/>
      </right>
      <top style="thin">
        <color indexed="64"/>
      </top>
      <bottom style="thin">
        <color indexed="64"/>
      </bottom>
      <diagonal/>
    </border>
    <border>
      <left style="dotted">
        <color indexed="64"/>
      </left>
      <right style="thin">
        <color indexed="64"/>
      </right>
      <top style="thin">
        <color indexed="64"/>
      </top>
      <bottom style="thin">
        <color indexed="64"/>
      </bottom>
      <diagonal/>
    </border>
    <border>
      <left/>
      <right style="thin">
        <color indexed="64"/>
      </right>
      <top/>
      <bottom/>
      <diagonal/>
    </border>
    <border>
      <left style="thin">
        <color indexed="64"/>
      </left>
      <right style="thin">
        <color indexed="64"/>
      </right>
      <top/>
      <bottom/>
      <diagonal/>
    </border>
    <border>
      <left/>
      <right/>
      <top style="thin">
        <color indexed="64"/>
      </top>
      <bottom style="thin">
        <color indexed="64"/>
      </bottom>
      <diagonal/>
    </border>
    <border>
      <left style="hair">
        <color auto="1"/>
      </left>
      <right style="hair">
        <color auto="1"/>
      </right>
      <top/>
      <bottom style="hair">
        <color auto="1"/>
      </bottom>
      <diagonal/>
    </border>
    <border>
      <left style="hair">
        <color auto="1"/>
      </left>
      <right style="thin">
        <color indexed="64"/>
      </right>
      <top style="hair">
        <color auto="1"/>
      </top>
      <bottom style="thin">
        <color indexed="64"/>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top/>
      <bottom style="thin">
        <color indexed="64"/>
      </bottom>
      <diagonal/>
    </border>
    <border>
      <left/>
      <right style="hair">
        <color auto="1"/>
      </right>
      <top style="hair">
        <color auto="1"/>
      </top>
      <bottom style="hair">
        <color auto="1"/>
      </bottom>
      <diagonal/>
    </border>
    <border>
      <left style="hair">
        <color auto="1"/>
      </left>
      <right style="hair">
        <color auto="1"/>
      </right>
      <top style="thin">
        <color auto="1"/>
      </top>
      <bottom/>
      <diagonal/>
    </border>
    <border>
      <left style="hair">
        <color auto="1"/>
      </left>
      <right/>
      <top style="thin">
        <color indexed="64"/>
      </top>
      <bottom/>
      <diagonal/>
    </border>
    <border>
      <left/>
      <right style="hair">
        <color auto="1"/>
      </right>
      <top style="thin">
        <color indexed="64"/>
      </top>
      <bottom/>
      <diagonal/>
    </border>
    <border>
      <left style="hair">
        <color auto="1"/>
      </left>
      <right/>
      <top style="thin">
        <color indexed="64"/>
      </top>
      <bottom style="hair">
        <color auto="1"/>
      </bottom>
      <diagonal/>
    </border>
    <border>
      <left/>
      <right style="thin">
        <color indexed="64"/>
      </right>
      <top style="thin">
        <color indexed="64"/>
      </top>
      <bottom style="hair">
        <color auto="1"/>
      </bottom>
      <diagonal/>
    </border>
  </borders>
  <cellStyleXfs count="9">
    <xf numFmtId="0" fontId="0" fillId="0" borderId="0"/>
    <xf numFmtId="0" fontId="9" fillId="0" borderId="0"/>
    <xf numFmtId="0" fontId="3" fillId="0" borderId="0">
      <alignment wrapText="1"/>
    </xf>
    <xf numFmtId="0" fontId="9" fillId="0" borderId="0"/>
    <xf numFmtId="0" fontId="9" fillId="0" borderId="0"/>
    <xf numFmtId="167" fontId="8" fillId="0" borderId="0" applyFont="0" applyFill="0" applyBorder="0" applyAlignment="0" applyProtection="0"/>
    <xf numFmtId="9" fontId="8" fillId="0" borderId="0" applyFont="0" applyFill="0" applyBorder="0" applyAlignment="0" applyProtection="0"/>
    <xf numFmtId="0" fontId="19" fillId="0" borderId="0" applyNumberFormat="0" applyFill="0" applyBorder="0" applyAlignment="0" applyProtection="0"/>
    <xf numFmtId="164" fontId="8" fillId="0" borderId="0" applyFont="0" applyFill="0" applyBorder="0" applyAlignment="0" applyProtection="0"/>
  </cellStyleXfs>
  <cellXfs count="435">
    <xf numFmtId="0" fontId="0" fillId="0" borderId="0" xfId="0"/>
    <xf numFmtId="0" fontId="5" fillId="2" borderId="7" xfId="0" applyFont="1" applyFill="1" applyBorder="1" applyAlignment="1">
      <alignment vertical="center" wrapText="1"/>
    </xf>
    <xf numFmtId="166" fontId="5" fillId="2" borderId="8" xfId="0" applyNumberFormat="1" applyFont="1" applyFill="1" applyBorder="1" applyAlignment="1">
      <alignment horizontal="center" vertical="center" wrapText="1"/>
    </xf>
    <xf numFmtId="2" fontId="4" fillId="2" borderId="8" xfId="0" applyNumberFormat="1" applyFont="1" applyFill="1" applyBorder="1" applyAlignment="1">
      <alignment horizontal="center" vertical="center" wrapText="1"/>
    </xf>
    <xf numFmtId="2" fontId="6" fillId="0" borderId="8" xfId="0" applyNumberFormat="1" applyFont="1" applyBorder="1" applyAlignment="1">
      <alignment horizontal="center" vertical="center" wrapText="1"/>
    </xf>
    <xf numFmtId="2" fontId="7" fillId="2" borderId="8" xfId="0" applyNumberFormat="1" applyFont="1" applyFill="1" applyBorder="1" applyAlignment="1">
      <alignment horizontal="center" vertical="center" wrapText="1"/>
    </xf>
    <xf numFmtId="2" fontId="6" fillId="0" borderId="9" xfId="0" applyNumberFormat="1" applyFont="1" applyBorder="1" applyAlignment="1">
      <alignment horizontal="center" vertical="center" wrapText="1"/>
    </xf>
    <xf numFmtId="0" fontId="10" fillId="2" borderId="0" xfId="0" applyFont="1" applyFill="1"/>
    <xf numFmtId="0" fontId="10" fillId="0" borderId="0" xfId="0" applyFont="1"/>
    <xf numFmtId="0" fontId="10" fillId="2" borderId="0" xfId="0" applyFont="1" applyFill="1" applyAlignment="1">
      <alignment vertical="center"/>
    </xf>
    <xf numFmtId="0" fontId="10" fillId="0" borderId="0" xfId="0" applyFont="1" applyAlignment="1">
      <alignment vertical="center"/>
    </xf>
    <xf numFmtId="2" fontId="4" fillId="2" borderId="10" xfId="0" applyNumberFormat="1" applyFont="1" applyFill="1" applyBorder="1" applyAlignment="1">
      <alignment horizontal="center" vertical="center" wrapText="1"/>
    </xf>
    <xf numFmtId="0" fontId="3" fillId="2" borderId="14" xfId="0" applyFont="1" applyFill="1" applyBorder="1" applyAlignment="1">
      <alignment vertical="center" wrapText="1"/>
    </xf>
    <xf numFmtId="2" fontId="4" fillId="2" borderId="15" xfId="0" applyNumberFormat="1" applyFont="1" applyFill="1" applyBorder="1" applyAlignment="1">
      <alignment horizontal="center" vertical="center" wrapText="1"/>
    </xf>
    <xf numFmtId="165" fontId="3" fillId="0" borderId="0" xfId="0" applyNumberFormat="1" applyFont="1" applyAlignment="1">
      <alignment horizontal="center" vertical="center" wrapText="1"/>
    </xf>
    <xf numFmtId="0" fontId="12" fillId="2" borderId="0" xfId="0" applyFont="1" applyFill="1"/>
    <xf numFmtId="0" fontId="10" fillId="0" borderId="16" xfId="0" applyFont="1" applyBorder="1" applyAlignment="1">
      <alignment horizontal="center" vertical="center"/>
    </xf>
    <xf numFmtId="0" fontId="10" fillId="0" borderId="14" xfId="0" applyFont="1" applyBorder="1" applyAlignment="1">
      <alignment horizontal="center" vertical="center"/>
    </xf>
    <xf numFmtId="0" fontId="10" fillId="0" borderId="12" xfId="0" applyFont="1" applyBorder="1" applyAlignment="1">
      <alignment horizontal="left" vertical="center" wrapText="1"/>
    </xf>
    <xf numFmtId="0" fontId="10" fillId="0" borderId="14" xfId="0" applyFont="1" applyBorder="1" applyAlignment="1">
      <alignment horizontal="left" vertical="center" wrapText="1"/>
    </xf>
    <xf numFmtId="0" fontId="3" fillId="0" borderId="0" xfId="0" applyFont="1" applyAlignment="1">
      <alignment vertical="center"/>
    </xf>
    <xf numFmtId="0" fontId="5" fillId="0" borderId="0" xfId="0" applyFont="1" applyAlignment="1">
      <alignment vertical="center" wrapText="1"/>
    </xf>
    <xf numFmtId="166" fontId="5" fillId="0" borderId="0" xfId="0" applyNumberFormat="1" applyFont="1" applyAlignment="1">
      <alignment horizontal="center" vertical="center" wrapText="1"/>
    </xf>
    <xf numFmtId="2" fontId="5" fillId="0" borderId="0" xfId="0" applyNumberFormat="1" applyFont="1" applyAlignment="1">
      <alignment horizontal="center" vertical="center" wrapText="1"/>
    </xf>
    <xf numFmtId="2" fontId="6" fillId="0" borderId="0" xfId="0" applyNumberFormat="1" applyFont="1" applyAlignment="1">
      <alignment horizontal="center" vertical="center" wrapText="1"/>
    </xf>
    <xf numFmtId="0" fontId="10" fillId="4" borderId="11" xfId="0" applyFont="1" applyFill="1" applyBorder="1" applyAlignment="1">
      <alignment horizontal="center" vertical="center"/>
    </xf>
    <xf numFmtId="9" fontId="10" fillId="0" borderId="18" xfId="6" applyFont="1" applyBorder="1" applyAlignment="1">
      <alignment horizontal="center" vertical="center"/>
    </xf>
    <xf numFmtId="0" fontId="10" fillId="4" borderId="10" xfId="0" applyFont="1" applyFill="1" applyBorder="1" applyAlignment="1">
      <alignment horizontal="center" vertical="center"/>
    </xf>
    <xf numFmtId="9" fontId="10" fillId="0" borderId="15" xfId="6" applyFont="1" applyBorder="1" applyAlignment="1">
      <alignment horizontal="center" vertical="center"/>
    </xf>
    <xf numFmtId="0" fontId="11" fillId="2" borderId="0" xfId="0" applyFont="1" applyFill="1"/>
    <xf numFmtId="0" fontId="5" fillId="2" borderId="0" xfId="0" applyFont="1" applyFill="1" applyAlignment="1">
      <alignment horizontal="left" vertical="center" wrapText="1"/>
    </xf>
    <xf numFmtId="0" fontId="5" fillId="2" borderId="0" xfId="0" applyFont="1" applyFill="1" applyAlignment="1">
      <alignment horizontal="center" vertical="center" wrapText="1"/>
    </xf>
    <xf numFmtId="0" fontId="10" fillId="2" borderId="0" xfId="0" applyFont="1" applyFill="1" applyAlignment="1">
      <alignment horizontal="center" vertical="center"/>
    </xf>
    <xf numFmtId="0" fontId="10" fillId="0" borderId="0" xfId="0" applyFont="1" applyAlignment="1">
      <alignment horizontal="center" vertical="center"/>
    </xf>
    <xf numFmtId="0" fontId="3" fillId="0" borderId="14" xfId="0" applyFont="1" applyBorder="1" applyAlignment="1">
      <alignment vertical="center" wrapText="1"/>
    </xf>
    <xf numFmtId="0" fontId="10" fillId="5" borderId="0" xfId="0" applyFont="1" applyFill="1"/>
    <xf numFmtId="0" fontId="11" fillId="2" borderId="0" xfId="0" applyFont="1" applyFill="1" applyAlignment="1">
      <alignment horizontal="center" vertical="center"/>
    </xf>
    <xf numFmtId="2" fontId="4" fillId="7" borderId="10" xfId="0" applyNumberFormat="1" applyFont="1" applyFill="1" applyBorder="1" applyAlignment="1">
      <alignment horizontal="center" vertical="center" wrapText="1"/>
    </xf>
    <xf numFmtId="2" fontId="7" fillId="2" borderId="24" xfId="0" applyNumberFormat="1" applyFont="1" applyFill="1" applyBorder="1" applyAlignment="1">
      <alignment horizontal="center" vertical="center" wrapText="1"/>
    </xf>
    <xf numFmtId="2" fontId="6" fillId="0" borderId="26" xfId="0" applyNumberFormat="1" applyFont="1" applyBorder="1" applyAlignment="1">
      <alignment horizontal="center" vertical="center" wrapText="1"/>
    </xf>
    <xf numFmtId="0" fontId="2" fillId="3" borderId="28" xfId="0" applyFont="1" applyFill="1" applyBorder="1" applyAlignment="1">
      <alignment horizontal="center" vertical="center" wrapText="1"/>
    </xf>
    <xf numFmtId="0" fontId="2" fillId="3" borderId="29" xfId="0" applyFont="1" applyFill="1" applyBorder="1" applyAlignment="1">
      <alignment horizontal="center" vertical="center" wrapText="1"/>
    </xf>
    <xf numFmtId="0" fontId="2" fillId="3" borderId="30" xfId="0" applyFont="1" applyFill="1" applyBorder="1" applyAlignment="1">
      <alignment horizontal="center" vertical="center" wrapText="1"/>
    </xf>
    <xf numFmtId="0" fontId="2" fillId="3" borderId="27" xfId="0" applyFont="1" applyFill="1" applyBorder="1" applyAlignment="1">
      <alignment horizontal="center" vertical="center" wrapText="1"/>
    </xf>
    <xf numFmtId="0" fontId="2" fillId="3" borderId="31" xfId="0" applyFont="1" applyFill="1" applyBorder="1" applyAlignment="1">
      <alignment horizontal="center" vertical="center" wrapText="1"/>
    </xf>
    <xf numFmtId="0" fontId="3" fillId="2" borderId="32" xfId="0" applyFont="1" applyFill="1" applyBorder="1" applyAlignment="1">
      <alignment vertical="center" wrapText="1"/>
    </xf>
    <xf numFmtId="165" fontId="3" fillId="2" borderId="33" xfId="0" applyNumberFormat="1" applyFont="1" applyFill="1" applyBorder="1" applyAlignment="1">
      <alignment horizontal="center" vertical="center" wrapText="1"/>
    </xf>
    <xf numFmtId="2" fontId="4" fillId="2" borderId="33" xfId="0" applyNumberFormat="1" applyFont="1" applyFill="1" applyBorder="1" applyAlignment="1">
      <alignment horizontal="center" vertical="center" wrapText="1"/>
    </xf>
    <xf numFmtId="1" fontId="3" fillId="0" borderId="33" xfId="0" applyNumberFormat="1" applyFont="1" applyBorder="1" applyAlignment="1">
      <alignment horizontal="left" vertical="top" wrapText="1"/>
    </xf>
    <xf numFmtId="1" fontId="3" fillId="0" borderId="34" xfId="0" applyNumberFormat="1" applyFont="1" applyBorder="1" applyAlignment="1">
      <alignment horizontal="left" vertical="top" wrapText="1"/>
    </xf>
    <xf numFmtId="0" fontId="3" fillId="2" borderId="35" xfId="0" applyFont="1" applyFill="1" applyBorder="1" applyAlignment="1">
      <alignment vertical="center" wrapText="1"/>
    </xf>
    <xf numFmtId="165" fontId="3" fillId="2" borderId="36" xfId="0" applyNumberFormat="1" applyFont="1" applyFill="1" applyBorder="1" applyAlignment="1">
      <alignment horizontal="center" vertical="center" wrapText="1"/>
    </xf>
    <xf numFmtId="2" fontId="4" fillId="2" borderId="36" xfId="0" applyNumberFormat="1" applyFont="1" applyFill="1" applyBorder="1" applyAlignment="1">
      <alignment horizontal="center" vertical="center" wrapText="1"/>
    </xf>
    <xf numFmtId="1" fontId="3" fillId="0" borderId="36" xfId="0" applyNumberFormat="1" applyFont="1" applyBorder="1" applyAlignment="1">
      <alignment horizontal="left" vertical="top" wrapText="1"/>
    </xf>
    <xf numFmtId="0" fontId="3" fillId="0" borderId="36" xfId="0" applyFont="1" applyBorder="1" applyAlignment="1">
      <alignment horizontal="left" vertical="top" wrapText="1"/>
    </xf>
    <xf numFmtId="1" fontId="3" fillId="0" borderId="37" xfId="0" applyNumberFormat="1" applyFont="1" applyBorder="1" applyAlignment="1">
      <alignment horizontal="left" vertical="top" wrapText="1"/>
    </xf>
    <xf numFmtId="2" fontId="4" fillId="6" borderId="36" xfId="0" applyNumberFormat="1" applyFont="1" applyFill="1" applyBorder="1" applyAlignment="1">
      <alignment horizontal="center" vertical="center" wrapText="1"/>
    </xf>
    <xf numFmtId="0" fontId="3" fillId="0" borderId="35" xfId="0" applyFont="1" applyBorder="1" applyAlignment="1">
      <alignment vertical="center" wrapText="1"/>
    </xf>
    <xf numFmtId="165" fontId="3" fillId="0" borderId="36" xfId="0" applyNumberFormat="1" applyFont="1" applyBorder="1" applyAlignment="1">
      <alignment horizontal="center" vertical="center" wrapText="1"/>
    </xf>
    <xf numFmtId="2" fontId="4" fillId="2" borderId="39" xfId="0" applyNumberFormat="1" applyFont="1" applyFill="1" applyBorder="1" applyAlignment="1">
      <alignment horizontal="center" vertical="center" wrapText="1"/>
    </xf>
    <xf numFmtId="1" fontId="3" fillId="0" borderId="39" xfId="0" applyNumberFormat="1" applyFont="1" applyBorder="1" applyAlignment="1">
      <alignment horizontal="left" vertical="top" wrapText="1"/>
    </xf>
    <xf numFmtId="1" fontId="3" fillId="0" borderId="40" xfId="0" applyNumberFormat="1" applyFont="1" applyBorder="1" applyAlignment="1">
      <alignment horizontal="left" vertical="top" wrapText="1"/>
    </xf>
    <xf numFmtId="0" fontId="0" fillId="3" borderId="0" xfId="0" applyFill="1"/>
    <xf numFmtId="0" fontId="16" fillId="3" borderId="0" xfId="0" applyFont="1" applyFill="1"/>
    <xf numFmtId="0" fontId="17" fillId="3" borderId="0" xfId="0" applyFont="1" applyFill="1"/>
    <xf numFmtId="0" fontId="16" fillId="8" borderId="0" xfId="0" applyFont="1" applyFill="1"/>
    <xf numFmtId="0" fontId="0" fillId="8" borderId="0" xfId="0" applyFill="1"/>
    <xf numFmtId="0" fontId="0" fillId="2" borderId="0" xfId="0" applyFill="1"/>
    <xf numFmtId="0" fontId="18" fillId="2" borderId="0" xfId="0" applyFont="1" applyFill="1"/>
    <xf numFmtId="2" fontId="4" fillId="7" borderId="15" xfId="0" applyNumberFormat="1" applyFont="1" applyFill="1" applyBorder="1" applyAlignment="1">
      <alignment horizontal="center" vertical="center" wrapText="1"/>
    </xf>
    <xf numFmtId="0" fontId="1" fillId="0" borderId="0" xfId="0" applyFont="1" applyAlignment="1">
      <alignment vertical="center" wrapText="1"/>
    </xf>
    <xf numFmtId="0" fontId="19" fillId="2" borderId="0" xfId="7" applyFill="1"/>
    <xf numFmtId="0" fontId="16" fillId="2" borderId="0" xfId="0" applyFont="1" applyFill="1"/>
    <xf numFmtId="0" fontId="3" fillId="0" borderId="38" xfId="0" applyFont="1" applyBorder="1" applyAlignment="1">
      <alignment vertical="center" wrapText="1"/>
    </xf>
    <xf numFmtId="165" fontId="3" fillId="0" borderId="39" xfId="0" applyNumberFormat="1" applyFont="1" applyBorder="1" applyAlignment="1">
      <alignment horizontal="center" vertical="center" wrapText="1"/>
    </xf>
    <xf numFmtId="2" fontId="6" fillId="2" borderId="10" xfId="0" applyNumberFormat="1" applyFont="1" applyFill="1" applyBorder="1" applyAlignment="1">
      <alignment horizontal="center" vertical="center" wrapText="1"/>
    </xf>
    <xf numFmtId="0" fontId="6" fillId="2" borderId="14" xfId="0" applyFont="1" applyFill="1" applyBorder="1" applyAlignment="1">
      <alignment vertical="center" wrapText="1"/>
    </xf>
    <xf numFmtId="2" fontId="6" fillId="2" borderId="15" xfId="0" applyNumberFormat="1" applyFont="1" applyFill="1" applyBorder="1" applyAlignment="1">
      <alignment horizontal="center" vertical="center" wrapText="1"/>
    </xf>
    <xf numFmtId="0" fontId="12" fillId="2" borderId="19" xfId="0" applyFont="1" applyFill="1" applyBorder="1" applyAlignment="1">
      <alignment vertical="center"/>
    </xf>
    <xf numFmtId="0" fontId="6" fillId="0" borderId="20" xfId="0" applyFont="1" applyBorder="1" applyAlignment="1">
      <alignment horizontal="center" vertical="center" wrapText="1"/>
    </xf>
    <xf numFmtId="0" fontId="6" fillId="0" borderId="22" xfId="0" applyFont="1" applyBorder="1" applyAlignment="1">
      <alignment horizontal="center" vertical="center" wrapText="1"/>
    </xf>
    <xf numFmtId="2" fontId="4" fillId="2" borderId="42" xfId="0" applyNumberFormat="1" applyFont="1" applyFill="1" applyBorder="1" applyAlignment="1">
      <alignment horizontal="center" vertical="center" wrapText="1"/>
    </xf>
    <xf numFmtId="2" fontId="4" fillId="7" borderId="42" xfId="0" applyNumberFormat="1" applyFont="1" applyFill="1" applyBorder="1" applyAlignment="1">
      <alignment horizontal="center" vertical="center" wrapText="1"/>
    </xf>
    <xf numFmtId="2" fontId="6" fillId="2" borderId="42" xfId="0" applyNumberFormat="1" applyFont="1" applyFill="1" applyBorder="1" applyAlignment="1">
      <alignment horizontal="center" vertical="center" wrapText="1"/>
    </xf>
    <xf numFmtId="0" fontId="6" fillId="0" borderId="43" xfId="0" applyFont="1" applyBorder="1" applyAlignment="1">
      <alignment horizontal="center" vertical="center" wrapText="1"/>
    </xf>
    <xf numFmtId="165" fontId="3" fillId="2" borderId="15" xfId="0" applyNumberFormat="1" applyFont="1" applyFill="1" applyBorder="1" applyAlignment="1">
      <alignment horizontal="center" vertical="center" wrapText="1"/>
    </xf>
    <xf numFmtId="166" fontId="6" fillId="2" borderId="15" xfId="0" applyNumberFormat="1" applyFont="1" applyFill="1" applyBorder="1" applyAlignment="1">
      <alignment horizontal="center" vertical="center" wrapText="1"/>
    </xf>
    <xf numFmtId="0" fontId="15" fillId="2" borderId="22" xfId="0" applyFont="1" applyFill="1" applyBorder="1"/>
    <xf numFmtId="0" fontId="3" fillId="2" borderId="12" xfId="0" applyFont="1" applyFill="1" applyBorder="1" applyAlignment="1">
      <alignment vertical="center" wrapText="1"/>
    </xf>
    <xf numFmtId="165" fontId="3" fillId="2" borderId="13" xfId="0" applyNumberFormat="1" applyFont="1" applyFill="1" applyBorder="1" applyAlignment="1">
      <alignment horizontal="center" vertical="center" wrapText="1"/>
    </xf>
    <xf numFmtId="2" fontId="4" fillId="2" borderId="44" xfId="0" applyNumberFormat="1" applyFont="1" applyFill="1" applyBorder="1" applyAlignment="1">
      <alignment horizontal="center" vertical="center" wrapText="1"/>
    </xf>
    <xf numFmtId="2" fontId="4" fillId="2" borderId="11" xfId="0" applyNumberFormat="1" applyFont="1" applyFill="1" applyBorder="1" applyAlignment="1">
      <alignment horizontal="center" vertical="center" wrapText="1"/>
    </xf>
    <xf numFmtId="2" fontId="4" fillId="2" borderId="13" xfId="0" applyNumberFormat="1" applyFont="1" applyFill="1" applyBorder="1" applyAlignment="1">
      <alignment horizontal="center" vertical="center" wrapText="1"/>
    </xf>
    <xf numFmtId="0" fontId="2" fillId="3" borderId="43" xfId="0" applyFont="1" applyFill="1" applyBorder="1" applyAlignment="1">
      <alignment horizontal="center" vertical="center" wrapText="1"/>
    </xf>
    <xf numFmtId="0" fontId="2" fillId="3" borderId="20" xfId="0" applyFont="1" applyFill="1" applyBorder="1" applyAlignment="1">
      <alignment horizontal="center" vertical="center" wrapText="1"/>
    </xf>
    <xf numFmtId="0" fontId="2" fillId="3" borderId="22" xfId="0" applyFont="1" applyFill="1" applyBorder="1" applyAlignment="1">
      <alignment horizontal="center" vertical="center" wrapText="1"/>
    </xf>
    <xf numFmtId="0" fontId="10" fillId="0" borderId="11" xfId="0" applyFont="1" applyBorder="1" applyAlignment="1">
      <alignment horizontal="center" vertical="center"/>
    </xf>
    <xf numFmtId="0" fontId="10" fillId="0" borderId="13" xfId="0" applyFont="1" applyBorder="1" applyAlignment="1">
      <alignment horizontal="center" vertical="center"/>
    </xf>
    <xf numFmtId="0" fontId="10" fillId="0" borderId="10" xfId="0" applyFont="1" applyBorder="1" applyAlignment="1">
      <alignment horizontal="center" vertical="center"/>
    </xf>
    <xf numFmtId="0" fontId="10" fillId="0" borderId="15" xfId="0" applyFont="1" applyBorder="1" applyAlignment="1">
      <alignment horizontal="center" vertical="center"/>
    </xf>
    <xf numFmtId="0" fontId="10" fillId="0" borderId="20" xfId="0" applyFont="1" applyBorder="1" applyAlignment="1">
      <alignment horizontal="center" vertical="center"/>
    </xf>
    <xf numFmtId="0" fontId="10" fillId="4" borderId="22" xfId="0" applyFont="1" applyFill="1" applyBorder="1" applyAlignment="1">
      <alignment horizontal="center" vertical="center"/>
    </xf>
    <xf numFmtId="0" fontId="11" fillId="0" borderId="45" xfId="0" applyFont="1" applyBorder="1" applyAlignment="1">
      <alignment horizontal="center" vertical="center"/>
    </xf>
    <xf numFmtId="9" fontId="11" fillId="0" borderId="21" xfId="6" applyFont="1" applyBorder="1" applyAlignment="1">
      <alignment horizontal="center" vertical="center"/>
    </xf>
    <xf numFmtId="0" fontId="10" fillId="0" borderId="19" xfId="0" applyFont="1" applyBorder="1" applyAlignment="1">
      <alignment horizontal="left" vertical="center" wrapText="1"/>
    </xf>
    <xf numFmtId="0" fontId="10" fillId="0" borderId="19" xfId="0" applyFont="1" applyBorder="1" applyAlignment="1">
      <alignment horizontal="center" vertical="center"/>
    </xf>
    <xf numFmtId="9" fontId="10" fillId="0" borderId="22" xfId="6" applyFont="1" applyBorder="1" applyAlignment="1">
      <alignment horizontal="center" vertical="center"/>
    </xf>
    <xf numFmtId="0" fontId="3" fillId="9" borderId="14" xfId="0" applyFont="1" applyFill="1" applyBorder="1" applyAlignment="1">
      <alignment vertical="center" wrapText="1"/>
    </xf>
    <xf numFmtId="165" fontId="3" fillId="9" borderId="15" xfId="0" applyNumberFormat="1" applyFont="1" applyFill="1" applyBorder="1" applyAlignment="1">
      <alignment horizontal="center" vertical="center" wrapText="1"/>
    </xf>
    <xf numFmtId="0" fontId="10" fillId="9" borderId="0" xfId="0" applyFont="1" applyFill="1"/>
    <xf numFmtId="0" fontId="10" fillId="10" borderId="0" xfId="0" applyFont="1" applyFill="1"/>
    <xf numFmtId="0" fontId="3" fillId="10" borderId="14" xfId="0" applyFont="1" applyFill="1" applyBorder="1" applyAlignment="1">
      <alignment vertical="center" wrapText="1"/>
    </xf>
    <xf numFmtId="165" fontId="3" fillId="10" borderId="15" xfId="0" applyNumberFormat="1" applyFont="1" applyFill="1" applyBorder="1" applyAlignment="1">
      <alignment horizontal="center" vertical="center" wrapText="1"/>
    </xf>
    <xf numFmtId="0" fontId="2" fillId="3" borderId="36" xfId="0" applyFont="1" applyFill="1" applyBorder="1" applyAlignment="1">
      <alignment horizontal="center" vertical="center" wrapText="1"/>
    </xf>
    <xf numFmtId="0" fontId="2" fillId="3" borderId="37" xfId="0" applyFont="1" applyFill="1" applyBorder="1" applyAlignment="1">
      <alignment horizontal="center" vertical="center" wrapText="1"/>
    </xf>
    <xf numFmtId="0" fontId="5" fillId="2" borderId="38" xfId="0" applyFont="1" applyFill="1" applyBorder="1" applyAlignment="1">
      <alignment vertical="center" wrapText="1"/>
    </xf>
    <xf numFmtId="166" fontId="5" fillId="2" borderId="39" xfId="0" applyNumberFormat="1" applyFont="1" applyFill="1" applyBorder="1" applyAlignment="1">
      <alignment horizontal="center" vertical="center" wrapText="1"/>
    </xf>
    <xf numFmtId="2" fontId="6" fillId="0" borderId="39" xfId="0" applyNumberFormat="1" applyFont="1" applyBorder="1" applyAlignment="1">
      <alignment horizontal="center" vertical="center" wrapText="1"/>
    </xf>
    <xf numFmtId="2" fontId="7" fillId="2" borderId="39" xfId="0" applyNumberFormat="1" applyFont="1" applyFill="1" applyBorder="1" applyAlignment="1">
      <alignment horizontal="center" vertical="center" wrapText="1"/>
    </xf>
    <xf numFmtId="2" fontId="6" fillId="0" borderId="40" xfId="0" applyNumberFormat="1" applyFont="1" applyBorder="1" applyAlignment="1">
      <alignment horizontal="center" vertical="center" wrapText="1"/>
    </xf>
    <xf numFmtId="0" fontId="3" fillId="0" borderId="37" xfId="0" applyFont="1" applyBorder="1" applyAlignment="1">
      <alignment horizontal="left" vertical="top" wrapText="1"/>
    </xf>
    <xf numFmtId="2" fontId="4" fillId="2" borderId="37" xfId="0" applyNumberFormat="1" applyFont="1" applyFill="1" applyBorder="1" applyAlignment="1">
      <alignment horizontal="center" vertical="center" wrapText="1"/>
    </xf>
    <xf numFmtId="2" fontId="4" fillId="7" borderId="36" xfId="0" applyNumberFormat="1" applyFont="1" applyFill="1" applyBorder="1" applyAlignment="1">
      <alignment horizontal="center" vertical="center" wrapText="1"/>
    </xf>
    <xf numFmtId="2" fontId="4" fillId="7" borderId="37" xfId="0" applyNumberFormat="1" applyFont="1" applyFill="1" applyBorder="1" applyAlignment="1">
      <alignment horizontal="center" vertical="center" wrapText="1"/>
    </xf>
    <xf numFmtId="0" fontId="6" fillId="2" borderId="35" xfId="0" applyFont="1" applyFill="1" applyBorder="1" applyAlignment="1">
      <alignment vertical="center" wrapText="1"/>
    </xf>
    <xf numFmtId="166" fontId="6" fillId="2" borderId="36" xfId="0" applyNumberFormat="1" applyFont="1" applyFill="1" applyBorder="1" applyAlignment="1">
      <alignment horizontal="center" vertical="center" wrapText="1"/>
    </xf>
    <xf numFmtId="2" fontId="6" fillId="2" borderId="36" xfId="0" applyNumberFormat="1" applyFont="1" applyFill="1" applyBorder="1" applyAlignment="1">
      <alignment horizontal="center" vertical="center" wrapText="1"/>
    </xf>
    <xf numFmtId="2" fontId="6" fillId="2" borderId="37" xfId="0" applyNumberFormat="1" applyFont="1" applyFill="1" applyBorder="1" applyAlignment="1">
      <alignment horizontal="center" vertical="center" wrapText="1"/>
    </xf>
    <xf numFmtId="0" fontId="12" fillId="2" borderId="38" xfId="0" applyFont="1" applyFill="1" applyBorder="1" applyAlignment="1">
      <alignment vertical="center"/>
    </xf>
    <xf numFmtId="0" fontId="15" fillId="2" borderId="39" xfId="0" applyFont="1" applyFill="1" applyBorder="1"/>
    <xf numFmtId="0" fontId="6" fillId="0" borderId="39" xfId="0" applyFont="1" applyBorder="1" applyAlignment="1">
      <alignment horizontal="center" vertical="center" wrapText="1"/>
    </xf>
    <xf numFmtId="0" fontId="6" fillId="0" borderId="40" xfId="0" applyFont="1" applyBorder="1" applyAlignment="1">
      <alignment horizontal="center" vertical="center" wrapText="1"/>
    </xf>
    <xf numFmtId="0" fontId="6" fillId="2" borderId="46" xfId="0" applyFont="1" applyFill="1" applyBorder="1" applyAlignment="1">
      <alignment vertical="center" wrapText="1"/>
    </xf>
    <xf numFmtId="166" fontId="6" fillId="2" borderId="47" xfId="0" applyNumberFormat="1" applyFont="1" applyFill="1" applyBorder="1" applyAlignment="1">
      <alignment horizontal="center" vertical="center" wrapText="1"/>
    </xf>
    <xf numFmtId="2" fontId="6" fillId="2" borderId="47" xfId="0" applyNumberFormat="1" applyFont="1" applyFill="1" applyBorder="1" applyAlignment="1">
      <alignment horizontal="center" vertical="center" wrapText="1"/>
    </xf>
    <xf numFmtId="2" fontId="6" fillId="2" borderId="48" xfId="0" applyNumberFormat="1" applyFont="1" applyFill="1" applyBorder="1" applyAlignment="1">
      <alignment horizontal="center" vertical="center" wrapText="1"/>
    </xf>
    <xf numFmtId="0" fontId="12" fillId="2" borderId="49" xfId="0" applyFont="1" applyFill="1" applyBorder="1" applyAlignment="1">
      <alignment vertical="center"/>
    </xf>
    <xf numFmtId="0" fontId="15" fillId="2" borderId="50" xfId="0" applyFont="1" applyFill="1" applyBorder="1"/>
    <xf numFmtId="0" fontId="6" fillId="0" borderId="50" xfId="0" applyFont="1" applyBorder="1" applyAlignment="1">
      <alignment horizontal="center" vertical="center" wrapText="1"/>
    </xf>
    <xf numFmtId="0" fontId="6" fillId="0" borderId="51" xfId="0" applyFont="1" applyBorder="1" applyAlignment="1">
      <alignment horizontal="center" vertical="center" wrapText="1"/>
    </xf>
    <xf numFmtId="0" fontId="22" fillId="2" borderId="16" xfId="0" applyFont="1" applyFill="1" applyBorder="1" applyAlignment="1">
      <alignment horizontal="center" vertical="center" wrapText="1"/>
    </xf>
    <xf numFmtId="0" fontId="22" fillId="2" borderId="17" xfId="0" applyFont="1" applyFill="1" applyBorder="1" applyAlignment="1">
      <alignment horizontal="center" vertical="center" wrapText="1"/>
    </xf>
    <xf numFmtId="0" fontId="22" fillId="2" borderId="18" xfId="0" applyFont="1" applyFill="1" applyBorder="1" applyAlignment="1">
      <alignment horizontal="center" vertical="center" wrapText="1"/>
    </xf>
    <xf numFmtId="0" fontId="23" fillId="2" borderId="14" xfId="0" applyFont="1" applyFill="1" applyBorder="1" applyAlignment="1">
      <alignment vertical="center" wrapText="1"/>
    </xf>
    <xf numFmtId="0" fontId="24" fillId="2" borderId="10" xfId="0" applyFont="1" applyFill="1" applyBorder="1" applyAlignment="1">
      <alignment vertical="center" wrapText="1"/>
    </xf>
    <xf numFmtId="0" fontId="24" fillId="2" borderId="15" xfId="0" applyFont="1" applyFill="1" applyBorder="1" applyAlignment="1">
      <alignment vertical="center" wrapText="1"/>
    </xf>
    <xf numFmtId="0" fontId="24" fillId="0" borderId="10" xfId="0" applyFont="1" applyBorder="1" applyAlignment="1">
      <alignment vertical="center" wrapText="1"/>
    </xf>
    <xf numFmtId="0" fontId="24" fillId="0" borderId="15" xfId="0" applyFont="1" applyBorder="1" applyAlignment="1">
      <alignment vertical="center" wrapText="1"/>
    </xf>
    <xf numFmtId="0" fontId="23" fillId="0" borderId="14" xfId="0" applyFont="1" applyBorder="1" applyAlignment="1">
      <alignment vertical="center" wrapText="1"/>
    </xf>
    <xf numFmtId="0" fontId="23" fillId="0" borderId="19" xfId="0" applyFont="1" applyBorder="1" applyAlignment="1">
      <alignment vertical="center" wrapText="1"/>
    </xf>
    <xf numFmtId="0" fontId="24" fillId="0" borderId="20" xfId="0" applyFont="1" applyBorder="1" applyAlignment="1">
      <alignment vertical="center" wrapText="1"/>
    </xf>
    <xf numFmtId="0" fontId="24" fillId="0" borderId="22" xfId="0" applyFont="1" applyBorder="1" applyAlignment="1">
      <alignment vertical="center" wrapText="1"/>
    </xf>
    <xf numFmtId="0" fontId="25" fillId="2" borderId="0" xfId="0" applyFont="1" applyFill="1"/>
    <xf numFmtId="0" fontId="26" fillId="2" borderId="0" xfId="0" applyFont="1" applyFill="1"/>
    <xf numFmtId="0" fontId="28" fillId="2" borderId="35" xfId="0" applyFont="1" applyFill="1" applyBorder="1" applyAlignment="1">
      <alignment vertical="center" wrapText="1"/>
    </xf>
    <xf numFmtId="165" fontId="28" fillId="2" borderId="36" xfId="0" applyNumberFormat="1" applyFont="1" applyFill="1" applyBorder="1" applyAlignment="1">
      <alignment horizontal="center" vertical="center" wrapText="1"/>
    </xf>
    <xf numFmtId="2" fontId="29" fillId="2" borderId="36" xfId="0" applyNumberFormat="1" applyFont="1" applyFill="1" applyBorder="1" applyAlignment="1">
      <alignment horizontal="center" vertical="center" wrapText="1"/>
    </xf>
    <xf numFmtId="1" fontId="28" fillId="0" borderId="36" xfId="0" applyNumberFormat="1" applyFont="1" applyBorder="1" applyAlignment="1">
      <alignment horizontal="left" vertical="top" wrapText="1"/>
    </xf>
    <xf numFmtId="1" fontId="28" fillId="0" borderId="37" xfId="0" applyNumberFormat="1" applyFont="1" applyBorder="1" applyAlignment="1">
      <alignment horizontal="left" vertical="top" wrapText="1"/>
    </xf>
    <xf numFmtId="2" fontId="29" fillId="6" borderId="36" xfId="0" applyNumberFormat="1" applyFont="1" applyFill="1" applyBorder="1" applyAlignment="1">
      <alignment horizontal="center" vertical="center" wrapText="1"/>
    </xf>
    <xf numFmtId="0" fontId="28" fillId="0" borderId="35" xfId="0" applyFont="1" applyBorder="1" applyAlignment="1">
      <alignment vertical="center" wrapText="1"/>
    </xf>
    <xf numFmtId="165" fontId="28" fillId="0" borderId="36" xfId="0" applyNumberFormat="1" applyFont="1" applyBorder="1" applyAlignment="1">
      <alignment horizontal="center" vertical="center" wrapText="1"/>
    </xf>
    <xf numFmtId="0" fontId="28" fillId="0" borderId="36" xfId="0" applyFont="1" applyBorder="1" applyAlignment="1">
      <alignment horizontal="left" vertical="top" wrapText="1"/>
    </xf>
    <xf numFmtId="2" fontId="29" fillId="2" borderId="39" xfId="0" applyNumberFormat="1" applyFont="1" applyFill="1" applyBorder="1" applyAlignment="1">
      <alignment horizontal="center" vertical="center" wrapText="1"/>
    </xf>
    <xf numFmtId="0" fontId="27" fillId="3" borderId="36" xfId="0" applyFont="1" applyFill="1" applyBorder="1" applyAlignment="1">
      <alignment horizontal="center" vertical="center" wrapText="1"/>
    </xf>
    <xf numFmtId="0" fontId="27" fillId="3" borderId="37" xfId="0" applyFont="1" applyFill="1" applyBorder="1" applyAlignment="1">
      <alignment horizontal="center" vertical="center" wrapText="1"/>
    </xf>
    <xf numFmtId="0" fontId="30" fillId="2" borderId="38" xfId="0" applyFont="1" applyFill="1" applyBorder="1" applyAlignment="1">
      <alignment vertical="center" wrapText="1"/>
    </xf>
    <xf numFmtId="166" fontId="30" fillId="2" borderId="39" xfId="0" applyNumberFormat="1" applyFont="1" applyFill="1" applyBorder="1" applyAlignment="1">
      <alignment horizontal="center" vertical="center" wrapText="1"/>
    </xf>
    <xf numFmtId="2" fontId="30" fillId="0" borderId="39" xfId="0" applyNumberFormat="1" applyFont="1" applyBorder="1" applyAlignment="1">
      <alignment horizontal="center" vertical="center" wrapText="1"/>
    </xf>
    <xf numFmtId="2" fontId="30" fillId="0" borderId="40" xfId="0" applyNumberFormat="1" applyFont="1" applyBorder="1" applyAlignment="1">
      <alignment horizontal="center" vertical="center" wrapText="1"/>
    </xf>
    <xf numFmtId="0" fontId="28" fillId="0" borderId="37" xfId="0" applyFont="1" applyBorder="1" applyAlignment="1">
      <alignment horizontal="left" vertical="top" wrapText="1"/>
    </xf>
    <xf numFmtId="0" fontId="16" fillId="0" borderId="0" xfId="0" applyFont="1"/>
    <xf numFmtId="0" fontId="0" fillId="0" borderId="0" xfId="0" applyAlignment="1">
      <alignment horizontal="justify" vertical="center"/>
    </xf>
    <xf numFmtId="164" fontId="16" fillId="0" borderId="0" xfId="0" applyNumberFormat="1" applyFont="1" applyAlignment="1">
      <alignment vertical="center"/>
    </xf>
    <xf numFmtId="0" fontId="16" fillId="0" borderId="0" xfId="0" applyFont="1" applyAlignment="1">
      <alignment vertical="center"/>
    </xf>
    <xf numFmtId="0" fontId="0" fillId="0" borderId="10" xfId="0" applyBorder="1"/>
    <xf numFmtId="0" fontId="16" fillId="0" borderId="16" xfId="0" applyFont="1" applyBorder="1"/>
    <xf numFmtId="0" fontId="0" fillId="0" borderId="17" xfId="0" applyBorder="1"/>
    <xf numFmtId="0" fontId="16" fillId="0" borderId="17" xfId="0" applyFont="1" applyBorder="1"/>
    <xf numFmtId="0" fontId="16" fillId="0" borderId="18" xfId="0" applyFont="1" applyBorder="1"/>
    <xf numFmtId="0" fontId="0" fillId="0" borderId="14" xfId="0" applyBorder="1"/>
    <xf numFmtId="0" fontId="0" fillId="0" borderId="15" xfId="0" applyBorder="1"/>
    <xf numFmtId="0" fontId="35" fillId="12" borderId="20" xfId="0" applyFont="1" applyFill="1" applyBorder="1"/>
    <xf numFmtId="0" fontId="35" fillId="12" borderId="22" xfId="0" applyFont="1" applyFill="1" applyBorder="1"/>
    <xf numFmtId="0" fontId="31" fillId="2" borderId="0" xfId="0" applyFont="1" applyFill="1"/>
    <xf numFmtId="0" fontId="32" fillId="2" borderId="0" xfId="0" applyFont="1" applyFill="1"/>
    <xf numFmtId="0" fontId="10" fillId="0" borderId="52" xfId="0" applyFont="1" applyBorder="1" applyAlignment="1">
      <alignment horizontal="left" vertical="center" wrapText="1"/>
    </xf>
    <xf numFmtId="0" fontId="10" fillId="0" borderId="53" xfId="0" applyFont="1" applyBorder="1" applyAlignment="1">
      <alignment horizontal="center" vertical="center"/>
    </xf>
    <xf numFmtId="0" fontId="10" fillId="0" borderId="54" xfId="0" applyFont="1" applyBorder="1" applyAlignment="1">
      <alignment horizontal="center" vertical="center"/>
    </xf>
    <xf numFmtId="0" fontId="10" fillId="0" borderId="55" xfId="0" applyFont="1" applyBorder="1" applyAlignment="1">
      <alignment horizontal="center" vertical="center"/>
    </xf>
    <xf numFmtId="0" fontId="10" fillId="0" borderId="56" xfId="0" applyFont="1" applyBorder="1" applyAlignment="1">
      <alignment horizontal="center" vertical="center"/>
    </xf>
    <xf numFmtId="0" fontId="10" fillId="4" borderId="57" xfId="0" applyFont="1" applyFill="1" applyBorder="1" applyAlignment="1">
      <alignment horizontal="center" vertical="center"/>
    </xf>
    <xf numFmtId="0" fontId="10" fillId="0" borderId="58" xfId="0" applyFont="1" applyBorder="1" applyAlignment="1">
      <alignment horizontal="center" vertical="center"/>
    </xf>
    <xf numFmtId="0" fontId="10" fillId="2" borderId="53" xfId="0" applyFont="1" applyFill="1" applyBorder="1" applyAlignment="1">
      <alignment horizontal="center" vertical="center"/>
    </xf>
    <xf numFmtId="0" fontId="10" fillId="2" borderId="56" xfId="0" applyFont="1" applyFill="1" applyBorder="1" applyAlignment="1">
      <alignment horizontal="center" vertical="center"/>
    </xf>
    <xf numFmtId="0" fontId="22" fillId="2" borderId="10" xfId="0" applyFont="1" applyFill="1" applyBorder="1" applyAlignment="1">
      <alignment horizontal="center" vertical="center" wrapText="1"/>
    </xf>
    <xf numFmtId="0" fontId="23" fillId="2" borderId="10" xfId="0" applyFont="1" applyFill="1" applyBorder="1" applyAlignment="1">
      <alignment vertical="center" wrapText="1"/>
    </xf>
    <xf numFmtId="0" fontId="23" fillId="0" borderId="10" xfId="0" applyFont="1" applyBorder="1" applyAlignment="1">
      <alignment vertical="center" wrapText="1"/>
    </xf>
    <xf numFmtId="0" fontId="36" fillId="13" borderId="10" xfId="0" applyFont="1" applyFill="1" applyBorder="1" applyAlignment="1">
      <alignment vertical="center" wrapText="1"/>
    </xf>
    <xf numFmtId="0" fontId="38" fillId="0" borderId="0" xfId="0" applyFont="1"/>
    <xf numFmtId="0" fontId="0" fillId="0" borderId="0" xfId="0" applyAlignment="1">
      <alignment vertical="top"/>
    </xf>
    <xf numFmtId="164" fontId="8" fillId="0" borderId="0" xfId="8" applyFont="1" applyAlignment="1">
      <alignment vertical="top"/>
    </xf>
    <xf numFmtId="0" fontId="0" fillId="0" borderId="0" xfId="0" applyAlignment="1">
      <alignment horizontal="justify" vertical="top"/>
    </xf>
    <xf numFmtId="0" fontId="34" fillId="0" borderId="0" xfId="0" applyFont="1" applyAlignment="1">
      <alignment vertical="center"/>
    </xf>
    <xf numFmtId="166" fontId="0" fillId="0" borderId="0" xfId="0" applyNumberFormat="1" applyAlignment="1">
      <alignment vertical="top"/>
    </xf>
    <xf numFmtId="164" fontId="16" fillId="0" borderId="0" xfId="0" applyNumberFormat="1" applyFont="1"/>
    <xf numFmtId="1" fontId="0" fillId="0" borderId="0" xfId="0" applyNumberFormat="1" applyAlignment="1">
      <alignment vertical="top"/>
    </xf>
    <xf numFmtId="164" fontId="16" fillId="0" borderId="0" xfId="8" applyFont="1" applyAlignment="1">
      <alignment vertical="top"/>
    </xf>
    <xf numFmtId="164" fontId="8" fillId="0" borderId="0" xfId="8" applyFont="1"/>
    <xf numFmtId="0" fontId="0" fillId="0" borderId="0" xfId="0" applyAlignment="1">
      <alignment vertical="center"/>
    </xf>
    <xf numFmtId="164" fontId="0" fillId="0" borderId="0" xfId="0" applyNumberFormat="1"/>
    <xf numFmtId="0" fontId="24" fillId="6" borderId="10" xfId="0" applyFont="1" applyFill="1" applyBorder="1" applyAlignment="1">
      <alignment vertical="center" wrapText="1"/>
    </xf>
    <xf numFmtId="1" fontId="3" fillId="6" borderId="36" xfId="0" applyNumberFormat="1" applyFont="1" applyFill="1" applyBorder="1" applyAlignment="1">
      <alignment horizontal="left" vertical="top" wrapText="1"/>
    </xf>
    <xf numFmtId="0" fontId="3" fillId="6" borderId="37" xfId="0" applyFont="1" applyFill="1" applyBorder="1" applyAlignment="1">
      <alignment horizontal="left" vertical="top" wrapText="1"/>
    </xf>
    <xf numFmtId="1" fontId="3" fillId="6" borderId="37" xfId="0" applyNumberFormat="1" applyFont="1" applyFill="1" applyBorder="1" applyAlignment="1">
      <alignment horizontal="left" vertical="top" wrapText="1"/>
    </xf>
    <xf numFmtId="0" fontId="31" fillId="15" borderId="36" xfId="0" applyFont="1" applyFill="1" applyBorder="1"/>
    <xf numFmtId="0" fontId="31" fillId="15" borderId="67" xfId="0" applyFont="1" applyFill="1" applyBorder="1"/>
    <xf numFmtId="0" fontId="0" fillId="9" borderId="66" xfId="0" applyFill="1" applyBorder="1" applyAlignment="1">
      <alignment vertical="center"/>
    </xf>
    <xf numFmtId="0" fontId="0" fillId="9" borderId="36" xfId="0" applyFill="1" applyBorder="1"/>
    <xf numFmtId="0" fontId="0" fillId="9" borderId="67" xfId="0" applyFill="1" applyBorder="1"/>
    <xf numFmtId="0" fontId="0" fillId="14" borderId="66" xfId="0" applyFill="1" applyBorder="1" applyAlignment="1">
      <alignment horizontal="left" vertical="center"/>
    </xf>
    <xf numFmtId="0" fontId="0" fillId="14" borderId="36" xfId="0" applyFill="1" applyBorder="1"/>
    <xf numFmtId="0" fontId="0" fillId="14" borderId="67" xfId="0" applyFill="1" applyBorder="1"/>
    <xf numFmtId="0" fontId="0" fillId="10" borderId="66" xfId="0" applyFill="1" applyBorder="1" applyAlignment="1">
      <alignment horizontal="left" vertical="center"/>
    </xf>
    <xf numFmtId="0" fontId="0" fillId="10" borderId="36" xfId="0" applyFill="1" applyBorder="1"/>
    <xf numFmtId="0" fontId="0" fillId="10" borderId="67" xfId="0" applyFill="1" applyBorder="1"/>
    <xf numFmtId="0" fontId="0" fillId="10" borderId="68" xfId="0" applyFill="1" applyBorder="1" applyAlignment="1">
      <alignment horizontal="left" vertical="center"/>
    </xf>
    <xf numFmtId="0" fontId="0" fillId="10" borderId="69" xfId="0" applyFill="1" applyBorder="1"/>
    <xf numFmtId="0" fontId="35" fillId="0" borderId="71" xfId="0" applyFont="1" applyBorder="1"/>
    <xf numFmtId="0" fontId="35" fillId="2" borderId="0" xfId="0" applyFont="1" applyFill="1" applyAlignment="1">
      <alignment horizontal="center"/>
    </xf>
    <xf numFmtId="0" fontId="35" fillId="2" borderId="0" xfId="0" applyFont="1" applyFill="1"/>
    <xf numFmtId="0" fontId="33" fillId="2" borderId="0" xfId="0" applyFont="1" applyFill="1"/>
    <xf numFmtId="0" fontId="38" fillId="16" borderId="0" xfId="0" applyFont="1" applyFill="1"/>
    <xf numFmtId="0" fontId="0" fillId="16" borderId="0" xfId="0" applyFill="1"/>
    <xf numFmtId="0" fontId="0" fillId="17" borderId="0" xfId="0" applyFill="1"/>
    <xf numFmtId="0" fontId="18" fillId="17" borderId="0" xfId="0" applyFont="1" applyFill="1" applyAlignment="1">
      <alignment horizontal="right" vertical="center"/>
    </xf>
    <xf numFmtId="164" fontId="16" fillId="17" borderId="0" xfId="8" applyFont="1" applyFill="1"/>
    <xf numFmtId="0" fontId="16" fillId="17" borderId="0" xfId="0" applyFont="1" applyFill="1"/>
    <xf numFmtId="0" fontId="0" fillId="0" borderId="0" xfId="0" applyAlignment="1">
      <alignment wrapText="1"/>
    </xf>
    <xf numFmtId="0" fontId="16" fillId="0" borderId="0" xfId="0" applyFont="1" applyAlignment="1">
      <alignment wrapText="1"/>
    </xf>
    <xf numFmtId="0" fontId="40" fillId="2" borderId="0" xfId="0" applyFont="1" applyFill="1"/>
    <xf numFmtId="0" fontId="40" fillId="2" borderId="0" xfId="0" applyFont="1" applyFill="1" applyAlignment="1">
      <alignment horizontal="left"/>
    </xf>
    <xf numFmtId="0" fontId="41" fillId="2" borderId="0" xfId="0" applyFont="1" applyFill="1"/>
    <xf numFmtId="0" fontId="39" fillId="2" borderId="0" xfId="0" applyFont="1" applyFill="1"/>
    <xf numFmtId="0" fontId="42" fillId="2" borderId="0" xfId="0" applyFont="1" applyFill="1"/>
    <xf numFmtId="0" fontId="43" fillId="2" borderId="0" xfId="0" applyFont="1" applyFill="1"/>
    <xf numFmtId="0" fontId="35" fillId="0" borderId="72" xfId="0" applyFont="1" applyBorder="1"/>
    <xf numFmtId="0" fontId="44" fillId="2" borderId="0" xfId="0" applyFont="1" applyFill="1"/>
    <xf numFmtId="0" fontId="45" fillId="2" borderId="0" xfId="0" applyFont="1" applyFill="1"/>
    <xf numFmtId="0" fontId="46" fillId="2" borderId="0" xfId="0" applyFont="1" applyFill="1"/>
    <xf numFmtId="0" fontId="47" fillId="2" borderId="0" xfId="0" applyFont="1" applyFill="1"/>
    <xf numFmtId="0" fontId="0" fillId="18" borderId="0" xfId="0" applyFill="1" applyAlignment="1">
      <alignment vertical="top"/>
    </xf>
    <xf numFmtId="2" fontId="0" fillId="18" borderId="0" xfId="0" applyNumberFormat="1" applyFill="1" applyAlignment="1">
      <alignment vertical="top"/>
    </xf>
    <xf numFmtId="164" fontId="8" fillId="18" borderId="0" xfId="8" applyFont="1" applyFill="1" applyAlignment="1">
      <alignment vertical="top"/>
    </xf>
    <xf numFmtId="0" fontId="0" fillId="18" borderId="0" xfId="0" applyFill="1"/>
    <xf numFmtId="0" fontId="16" fillId="0" borderId="0" xfId="0" applyFont="1" applyAlignment="1">
      <alignment vertical="top"/>
    </xf>
    <xf numFmtId="0" fontId="45" fillId="2" borderId="0" xfId="0" quotePrefix="1" applyFont="1" applyFill="1"/>
    <xf numFmtId="2" fontId="0" fillId="11" borderId="0" xfId="0" applyNumberFormat="1" applyFill="1" applyAlignment="1">
      <alignment vertical="top"/>
    </xf>
    <xf numFmtId="0" fontId="0" fillId="11" borderId="0" xfId="0" applyFill="1" applyAlignment="1">
      <alignment vertical="top"/>
    </xf>
    <xf numFmtId="0" fontId="39" fillId="6" borderId="0" xfId="0" applyFont="1" applyFill="1"/>
    <xf numFmtId="0" fontId="43" fillId="6" borderId="0" xfId="0" applyFont="1" applyFill="1"/>
    <xf numFmtId="0" fontId="16" fillId="19" borderId="10" xfId="0" applyFont="1" applyFill="1" applyBorder="1"/>
    <xf numFmtId="164" fontId="16" fillId="19" borderId="10" xfId="0" applyNumberFormat="1" applyFont="1" applyFill="1" applyBorder="1"/>
    <xf numFmtId="0" fontId="16" fillId="19" borderId="10" xfId="0" applyFont="1" applyFill="1" applyBorder="1" applyAlignment="1">
      <alignment horizontal="center" vertical="center"/>
    </xf>
    <xf numFmtId="0" fontId="0" fillId="19" borderId="10" xfId="0" applyFill="1" applyBorder="1"/>
    <xf numFmtId="0" fontId="16" fillId="6" borderId="10" xfId="0" applyFont="1" applyFill="1" applyBorder="1"/>
    <xf numFmtId="0" fontId="31" fillId="20" borderId="10" xfId="0" applyFont="1" applyFill="1" applyBorder="1" applyAlignment="1">
      <alignment horizontal="center"/>
    </xf>
    <xf numFmtId="0" fontId="16" fillId="14" borderId="53" xfId="0" applyFont="1" applyFill="1" applyBorder="1"/>
    <xf numFmtId="0" fontId="16" fillId="14" borderId="10" xfId="0" applyFont="1" applyFill="1" applyBorder="1" applyAlignment="1">
      <alignment horizontal="center"/>
    </xf>
    <xf numFmtId="0" fontId="0" fillId="14" borderId="10" xfId="0" applyFill="1" applyBorder="1"/>
    <xf numFmtId="0" fontId="49" fillId="14" borderId="74" xfId="0" applyFont="1" applyFill="1" applyBorder="1"/>
    <xf numFmtId="0" fontId="49" fillId="14" borderId="11" xfId="0" applyFont="1" applyFill="1" applyBorder="1"/>
    <xf numFmtId="0" fontId="16" fillId="7" borderId="53" xfId="0" applyFont="1" applyFill="1" applyBorder="1"/>
    <xf numFmtId="0" fontId="16" fillId="7" borderId="10" xfId="0" applyFont="1" applyFill="1" applyBorder="1" applyAlignment="1">
      <alignment horizontal="center"/>
    </xf>
    <xf numFmtId="0" fontId="0" fillId="7" borderId="10" xfId="0" applyFill="1" applyBorder="1"/>
    <xf numFmtId="0" fontId="50" fillId="7" borderId="74" xfId="0" applyFont="1" applyFill="1" applyBorder="1"/>
    <xf numFmtId="0" fontId="50" fillId="7" borderId="11" xfId="0" applyFont="1" applyFill="1" applyBorder="1"/>
    <xf numFmtId="0" fontId="16" fillId="9" borderId="10" xfId="0" applyFont="1" applyFill="1" applyBorder="1"/>
    <xf numFmtId="0" fontId="16" fillId="9" borderId="10" xfId="0" applyFont="1" applyFill="1" applyBorder="1" applyAlignment="1">
      <alignment horizontal="center"/>
    </xf>
    <xf numFmtId="0" fontId="0" fillId="9" borderId="10" xfId="0" applyFill="1" applyBorder="1"/>
    <xf numFmtId="0" fontId="31" fillId="4" borderId="10" xfId="0" applyFont="1" applyFill="1" applyBorder="1"/>
    <xf numFmtId="0" fontId="36" fillId="0" borderId="10" xfId="0" applyFont="1" applyBorder="1" applyAlignment="1">
      <alignment vertical="center" wrapText="1"/>
    </xf>
    <xf numFmtId="0" fontId="6" fillId="2" borderId="38" xfId="0" applyFont="1" applyFill="1" applyBorder="1" applyAlignment="1">
      <alignment vertical="center" wrapText="1"/>
    </xf>
    <xf numFmtId="166" fontId="6" fillId="2" borderId="39" xfId="0" applyNumberFormat="1" applyFont="1" applyFill="1" applyBorder="1" applyAlignment="1">
      <alignment horizontal="center" vertical="center" wrapText="1"/>
    </xf>
    <xf numFmtId="0" fontId="23" fillId="21" borderId="10" xfId="0" applyFont="1" applyFill="1" applyBorder="1" applyAlignment="1">
      <alignment vertical="center" wrapText="1"/>
    </xf>
    <xf numFmtId="0" fontId="24" fillId="21" borderId="10" xfId="0" applyFont="1" applyFill="1" applyBorder="1" applyAlignment="1">
      <alignment vertical="center" wrapText="1"/>
    </xf>
    <xf numFmtId="0" fontId="35" fillId="0" borderId="0" xfId="0" applyFont="1"/>
    <xf numFmtId="0" fontId="32" fillId="0" borderId="0" xfId="0" applyFont="1"/>
    <xf numFmtId="0" fontId="39" fillId="0" borderId="0" xfId="0" applyFont="1" applyAlignment="1">
      <alignment horizontal="center"/>
    </xf>
    <xf numFmtId="0" fontId="40" fillId="0" borderId="0" xfId="0" applyFont="1" applyAlignment="1">
      <alignment horizontal="center"/>
    </xf>
    <xf numFmtId="0" fontId="41" fillId="0" borderId="0" xfId="0" applyFont="1"/>
    <xf numFmtId="0" fontId="41" fillId="0" borderId="0" xfId="0" applyFont="1" applyAlignment="1">
      <alignment horizontal="center" vertical="center"/>
    </xf>
    <xf numFmtId="0" fontId="40" fillId="22" borderId="65" xfId="0" applyFont="1" applyFill="1" applyBorder="1" applyAlignment="1">
      <alignment horizontal="center" vertical="center"/>
    </xf>
    <xf numFmtId="0" fontId="40" fillId="22" borderId="36" xfId="0" applyFont="1" applyFill="1" applyBorder="1" applyAlignment="1">
      <alignment horizontal="center" vertical="center"/>
    </xf>
    <xf numFmtId="0" fontId="40" fillId="22" borderId="67" xfId="0" applyFont="1" applyFill="1" applyBorder="1" applyAlignment="1">
      <alignment horizontal="center" vertical="center"/>
    </xf>
    <xf numFmtId="0" fontId="51" fillId="0" borderId="66" xfId="0" applyFont="1" applyBorder="1" applyAlignment="1">
      <alignment horizontal="left"/>
    </xf>
    <xf numFmtId="0" fontId="41" fillId="0" borderId="36" xfId="0" applyFont="1" applyBorder="1" applyAlignment="1">
      <alignment horizontal="center" vertical="center"/>
    </xf>
    <xf numFmtId="0" fontId="41" fillId="0" borderId="67" xfId="0" applyFont="1" applyBorder="1" applyAlignment="1">
      <alignment horizontal="center" vertical="center"/>
    </xf>
    <xf numFmtId="0" fontId="51" fillId="0" borderId="68" xfId="0" applyFont="1" applyBorder="1" applyAlignment="1">
      <alignment horizontal="left"/>
    </xf>
    <xf numFmtId="0" fontId="41" fillId="0" borderId="69" xfId="0" applyFont="1" applyBorder="1" applyAlignment="1">
      <alignment horizontal="center" vertical="center"/>
    </xf>
    <xf numFmtId="0" fontId="41" fillId="0" borderId="77" xfId="0" applyFont="1" applyBorder="1" applyAlignment="1">
      <alignment horizontal="center" vertical="center"/>
    </xf>
    <xf numFmtId="0" fontId="0" fillId="9" borderId="82" xfId="0" applyFill="1" applyBorder="1" applyAlignment="1">
      <alignment vertical="center"/>
    </xf>
    <xf numFmtId="0" fontId="0" fillId="14" borderId="82" xfId="0" applyFill="1" applyBorder="1" applyAlignment="1">
      <alignment horizontal="left" vertical="center"/>
    </xf>
    <xf numFmtId="0" fontId="0" fillId="10" borderId="82" xfId="0" applyFill="1" applyBorder="1" applyAlignment="1">
      <alignment horizontal="left" vertical="center"/>
    </xf>
    <xf numFmtId="0" fontId="40" fillId="22" borderId="64" xfId="0" applyFont="1" applyFill="1" applyBorder="1" applyAlignment="1">
      <alignment horizontal="center"/>
    </xf>
    <xf numFmtId="0" fontId="40" fillId="22" borderId="36" xfId="0" applyFont="1" applyFill="1" applyBorder="1" applyAlignment="1">
      <alignment horizontal="center"/>
    </xf>
    <xf numFmtId="0" fontId="53" fillId="23" borderId="57" xfId="0" applyFont="1" applyFill="1" applyBorder="1"/>
    <xf numFmtId="0" fontId="53" fillId="23" borderId="78" xfId="0" applyFont="1" applyFill="1" applyBorder="1"/>
    <xf numFmtId="0" fontId="53" fillId="23" borderId="79" xfId="0" applyFont="1" applyFill="1" applyBorder="1"/>
    <xf numFmtId="0" fontId="40" fillId="22" borderId="65" xfId="0" applyFont="1" applyFill="1" applyBorder="1" applyAlignment="1">
      <alignment horizontal="center"/>
    </xf>
    <xf numFmtId="0" fontId="40" fillId="22" borderId="67" xfId="0" applyFont="1" applyFill="1" applyBorder="1" applyAlignment="1">
      <alignment horizontal="center"/>
    </xf>
    <xf numFmtId="0" fontId="53" fillId="23" borderId="0" xfId="0" applyFont="1" applyFill="1" applyAlignment="1">
      <alignment horizontal="center"/>
    </xf>
    <xf numFmtId="0" fontId="40" fillId="22" borderId="69" xfId="0" applyFont="1" applyFill="1" applyBorder="1" applyAlignment="1">
      <alignment horizontal="center"/>
    </xf>
    <xf numFmtId="0" fontId="54" fillId="24" borderId="81" xfId="0" applyFont="1" applyFill="1" applyBorder="1" applyAlignment="1">
      <alignment horizontal="center"/>
    </xf>
    <xf numFmtId="0" fontId="40" fillId="22" borderId="77" xfId="0" applyFont="1" applyFill="1" applyBorder="1" applyAlignment="1">
      <alignment horizontal="center"/>
    </xf>
    <xf numFmtId="0" fontId="51" fillId="0" borderId="63" xfId="0" applyFont="1" applyBorder="1" applyAlignment="1">
      <alignment horizontal="left"/>
    </xf>
    <xf numFmtId="0" fontId="41" fillId="0" borderId="64" xfId="0" applyFont="1" applyBorder="1" applyAlignment="1">
      <alignment horizontal="center" vertical="center"/>
    </xf>
    <xf numFmtId="0" fontId="41" fillId="0" borderId="65" xfId="0" applyFont="1" applyBorder="1" applyAlignment="1">
      <alignment horizontal="center" vertical="center"/>
    </xf>
    <xf numFmtId="0" fontId="53" fillId="0" borderId="0" xfId="0" applyFont="1" applyAlignment="1">
      <alignment horizontal="center"/>
    </xf>
    <xf numFmtId="0" fontId="0" fillId="0" borderId="0" xfId="0" applyAlignment="1">
      <alignment horizontal="center" vertical="center"/>
    </xf>
    <xf numFmtId="0" fontId="39" fillId="0" borderId="0" xfId="0" applyFont="1" applyAlignment="1">
      <alignment horizontal="center" vertical="center"/>
    </xf>
    <xf numFmtId="0" fontId="33" fillId="0" borderId="0" xfId="0" applyFont="1"/>
    <xf numFmtId="0" fontId="44" fillId="0" borderId="0" xfId="0" applyFont="1"/>
    <xf numFmtId="0" fontId="46" fillId="0" borderId="0" xfId="0" applyFont="1"/>
    <xf numFmtId="0" fontId="47" fillId="0" borderId="0" xfId="0" applyFont="1"/>
    <xf numFmtId="0" fontId="45" fillId="0" borderId="0" xfId="0" applyFont="1"/>
    <xf numFmtId="0" fontId="39" fillId="0" borderId="35" xfId="0" applyFont="1" applyBorder="1" applyAlignment="1">
      <alignment horizontal="center"/>
    </xf>
    <xf numFmtId="0" fontId="39" fillId="0" borderId="36" xfId="0" applyFont="1" applyBorder="1" applyAlignment="1">
      <alignment horizontal="center" vertical="center"/>
    </xf>
    <xf numFmtId="0" fontId="39" fillId="0" borderId="37" xfId="0" applyFont="1" applyBorder="1" applyAlignment="1">
      <alignment horizontal="center" vertical="center"/>
    </xf>
    <xf numFmtId="0" fontId="39" fillId="0" borderId="38" xfId="0" applyFont="1" applyBorder="1" applyAlignment="1">
      <alignment horizontal="center"/>
    </xf>
    <xf numFmtId="0" fontId="39" fillId="0" borderId="39" xfId="0" applyFont="1" applyBorder="1" applyAlignment="1">
      <alignment horizontal="center" vertical="center"/>
    </xf>
    <xf numFmtId="0" fontId="39" fillId="0" borderId="40" xfId="0" applyFont="1" applyBorder="1" applyAlignment="1">
      <alignment horizontal="center" vertical="center"/>
    </xf>
    <xf numFmtId="0" fontId="52" fillId="25" borderId="33" xfId="0" applyFont="1" applyFill="1" applyBorder="1" applyAlignment="1">
      <alignment horizontal="center"/>
    </xf>
    <xf numFmtId="0" fontId="52" fillId="25" borderId="36" xfId="0" applyFont="1" applyFill="1" applyBorder="1" applyAlignment="1">
      <alignment horizontal="center"/>
    </xf>
    <xf numFmtId="0" fontId="52" fillId="25" borderId="37" xfId="0" applyFont="1" applyFill="1" applyBorder="1" applyAlignment="1">
      <alignment horizontal="center"/>
    </xf>
    <xf numFmtId="0" fontId="55" fillId="0" borderId="0" xfId="0" applyFont="1"/>
    <xf numFmtId="0" fontId="52" fillId="0" borderId="0" xfId="0" applyFont="1" applyAlignment="1">
      <alignment horizontal="center"/>
    </xf>
    <xf numFmtId="0" fontId="52" fillId="0" borderId="0" xfId="0" applyFont="1" applyAlignment="1">
      <alignment vertical="center"/>
    </xf>
    <xf numFmtId="0" fontId="52" fillId="0" borderId="0" xfId="0" applyFont="1"/>
    <xf numFmtId="0" fontId="43" fillId="0" borderId="10" xfId="0" applyFont="1" applyBorder="1" applyAlignment="1">
      <alignment horizontal="center" vertical="center"/>
    </xf>
    <xf numFmtId="0" fontId="56" fillId="0" borderId="10" xfId="0" applyFont="1" applyBorder="1" applyAlignment="1">
      <alignment horizontal="center" vertical="center"/>
    </xf>
    <xf numFmtId="0" fontId="31" fillId="26" borderId="10" xfId="0" applyFont="1" applyFill="1" applyBorder="1" applyAlignment="1">
      <alignment horizontal="center"/>
    </xf>
    <xf numFmtId="0" fontId="57" fillId="27" borderId="10" xfId="0" applyFont="1" applyFill="1" applyBorder="1"/>
    <xf numFmtId="0" fontId="57" fillId="27" borderId="10" xfId="0" applyFont="1" applyFill="1" applyBorder="1" applyAlignment="1">
      <alignment horizontal="center"/>
    </xf>
    <xf numFmtId="0" fontId="42" fillId="0" borderId="10" xfId="0" applyFont="1" applyBorder="1"/>
    <xf numFmtId="0" fontId="10" fillId="29" borderId="0" xfId="0" applyFont="1" applyFill="1"/>
    <xf numFmtId="0" fontId="10" fillId="28" borderId="0" xfId="0" applyFont="1" applyFill="1"/>
    <xf numFmtId="0" fontId="23" fillId="6" borderId="10" xfId="0" applyFont="1" applyFill="1" applyBorder="1" applyAlignment="1">
      <alignment vertical="center" wrapText="1"/>
    </xf>
    <xf numFmtId="0" fontId="10" fillId="0" borderId="0" xfId="0" applyFont="1" applyAlignment="1">
      <alignment horizontal="right"/>
    </xf>
    <xf numFmtId="0" fontId="24" fillId="0" borderId="56" xfId="0" applyFont="1" applyBorder="1" applyAlignment="1">
      <alignment horizontal="center" vertical="center" wrapText="1"/>
    </xf>
    <xf numFmtId="0" fontId="24" fillId="0" borderId="75" xfId="0" applyFont="1" applyBorder="1" applyAlignment="1">
      <alignment horizontal="center" vertical="center" wrapText="1"/>
    </xf>
    <xf numFmtId="0" fontId="24" fillId="0" borderId="42" xfId="0" applyFont="1" applyBorder="1" applyAlignment="1">
      <alignment horizontal="center" vertical="center" wrapText="1"/>
    </xf>
    <xf numFmtId="0" fontId="14" fillId="3" borderId="61" xfId="0" applyFont="1" applyFill="1" applyBorder="1" applyAlignment="1">
      <alignment horizontal="center" vertical="center" wrapText="1"/>
    </xf>
    <xf numFmtId="0" fontId="14" fillId="3" borderId="62" xfId="0" applyFont="1" applyFill="1" applyBorder="1" applyAlignment="1">
      <alignment horizontal="center" vertical="center" wrapText="1"/>
    </xf>
    <xf numFmtId="0" fontId="14" fillId="3" borderId="17" xfId="0" applyFont="1" applyFill="1" applyBorder="1" applyAlignment="1">
      <alignment horizontal="center" vertical="center" wrapText="1"/>
    </xf>
    <xf numFmtId="0" fontId="14" fillId="3" borderId="20" xfId="0" applyFont="1" applyFill="1" applyBorder="1" applyAlignment="1">
      <alignment horizontal="center" vertical="center" wrapText="1"/>
    </xf>
    <xf numFmtId="0" fontId="14" fillId="3" borderId="16" xfId="0" applyFont="1" applyFill="1" applyBorder="1" applyAlignment="1">
      <alignment horizontal="center" vertical="center"/>
    </xf>
    <xf numFmtId="0" fontId="14" fillId="3" borderId="19" xfId="0" applyFont="1" applyFill="1" applyBorder="1" applyAlignment="1">
      <alignment horizontal="center" vertical="center"/>
    </xf>
    <xf numFmtId="0" fontId="14" fillId="3" borderId="18" xfId="0" applyFont="1" applyFill="1" applyBorder="1" applyAlignment="1">
      <alignment horizontal="center" vertical="center" wrapText="1"/>
    </xf>
    <xf numFmtId="0" fontId="14" fillId="3" borderId="22" xfId="0" applyFont="1" applyFill="1" applyBorder="1" applyAlignment="1">
      <alignment horizontal="center" vertical="center" wrapText="1"/>
    </xf>
    <xf numFmtId="0" fontId="2" fillId="3" borderId="32" xfId="0" applyFont="1" applyFill="1" applyBorder="1" applyAlignment="1">
      <alignment horizontal="left" vertical="top" wrapText="1"/>
    </xf>
    <xf numFmtId="0" fontId="2" fillId="3" borderId="35" xfId="0" applyFont="1" applyFill="1" applyBorder="1" applyAlignment="1">
      <alignment horizontal="left" vertical="top" wrapText="1"/>
    </xf>
    <xf numFmtId="0" fontId="2" fillId="3" borderId="33" xfId="0" applyFont="1" applyFill="1" applyBorder="1" applyAlignment="1">
      <alignment horizontal="center" vertical="top" wrapText="1"/>
    </xf>
    <xf numFmtId="0" fontId="2" fillId="3" borderId="36" xfId="0" applyFont="1" applyFill="1" applyBorder="1" applyAlignment="1">
      <alignment horizontal="center" vertical="top" wrapText="1"/>
    </xf>
    <xf numFmtId="0" fontId="2" fillId="3" borderId="33" xfId="0" applyFont="1" applyFill="1" applyBorder="1" applyAlignment="1">
      <alignment horizontal="center" vertical="center" wrapText="1"/>
    </xf>
    <xf numFmtId="0" fontId="2" fillId="3" borderId="34" xfId="0" applyFont="1" applyFill="1" applyBorder="1" applyAlignment="1">
      <alignment horizontal="center" vertical="center" wrapText="1"/>
    </xf>
    <xf numFmtId="0" fontId="2" fillId="3" borderId="32" xfId="0" applyFont="1" applyFill="1" applyBorder="1" applyAlignment="1">
      <alignment horizontal="center" vertical="center" wrapText="1"/>
    </xf>
    <xf numFmtId="0" fontId="2" fillId="3" borderId="35" xfId="0" applyFont="1" applyFill="1" applyBorder="1" applyAlignment="1">
      <alignment horizontal="center" vertical="center" wrapText="1"/>
    </xf>
    <xf numFmtId="0" fontId="2" fillId="3" borderId="36" xfId="0" applyFont="1" applyFill="1" applyBorder="1" applyAlignment="1">
      <alignment horizontal="center" vertical="center" wrapText="1"/>
    </xf>
    <xf numFmtId="0" fontId="13" fillId="3" borderId="33" xfId="0" applyFont="1" applyFill="1" applyBorder="1" applyAlignment="1">
      <alignment horizontal="center" vertical="center"/>
    </xf>
    <xf numFmtId="0" fontId="13" fillId="3" borderId="34" xfId="0" applyFont="1" applyFill="1" applyBorder="1" applyAlignment="1">
      <alignment horizontal="center" vertical="center"/>
    </xf>
    <xf numFmtId="0" fontId="14" fillId="3" borderId="16" xfId="0" applyFont="1" applyFill="1" applyBorder="1" applyAlignment="1">
      <alignment horizontal="center"/>
    </xf>
    <xf numFmtId="0" fontId="14" fillId="3" borderId="19" xfId="0" applyFont="1" applyFill="1" applyBorder="1" applyAlignment="1">
      <alignment horizontal="center"/>
    </xf>
    <xf numFmtId="0" fontId="14" fillId="3" borderId="59" xfId="0" applyFont="1" applyFill="1" applyBorder="1" applyAlignment="1">
      <alignment horizontal="center" vertical="center" wrapText="1"/>
    </xf>
    <xf numFmtId="0" fontId="14" fillId="3" borderId="21" xfId="0" applyFont="1" applyFill="1" applyBorder="1" applyAlignment="1">
      <alignment horizontal="center" vertical="center" wrapText="1"/>
    </xf>
    <xf numFmtId="0" fontId="14" fillId="3" borderId="60" xfId="0" applyFont="1" applyFill="1" applyBorder="1" applyAlignment="1">
      <alignment horizontal="center" vertical="center"/>
    </xf>
    <xf numFmtId="0" fontId="14" fillId="3" borderId="45" xfId="0" applyFont="1" applyFill="1" applyBorder="1" applyAlignment="1">
      <alignment horizontal="center" vertical="center"/>
    </xf>
    <xf numFmtId="0" fontId="2" fillId="3" borderId="34" xfId="0" applyFont="1" applyFill="1" applyBorder="1" applyAlignment="1">
      <alignment horizontal="center" vertical="top" wrapText="1"/>
    </xf>
    <xf numFmtId="0" fontId="2" fillId="3" borderId="6" xfId="0" applyFont="1" applyFill="1" applyBorder="1" applyAlignment="1">
      <alignment horizontal="center" vertical="top" wrapText="1"/>
    </xf>
    <xf numFmtId="0" fontId="2" fillId="3" borderId="25" xfId="0" applyFont="1" applyFill="1" applyBorder="1" applyAlignment="1">
      <alignment horizontal="center" vertical="top" wrapText="1"/>
    </xf>
    <xf numFmtId="0" fontId="2" fillId="3" borderId="16" xfId="0" applyFont="1" applyFill="1" applyBorder="1" applyAlignment="1">
      <alignment horizontal="center" vertical="center" wrapText="1"/>
    </xf>
    <xf numFmtId="0" fontId="2" fillId="3" borderId="19" xfId="0" applyFont="1" applyFill="1" applyBorder="1" applyAlignment="1">
      <alignment horizontal="center" vertical="center" wrapText="1"/>
    </xf>
    <xf numFmtId="0" fontId="2" fillId="3" borderId="18" xfId="0" applyFont="1" applyFill="1" applyBorder="1" applyAlignment="1">
      <alignment horizontal="center" vertical="center" wrapText="1"/>
    </xf>
    <xf numFmtId="0" fontId="2" fillId="3" borderId="22" xfId="0" applyFont="1" applyFill="1" applyBorder="1" applyAlignment="1">
      <alignment horizontal="center" vertical="center" wrapText="1"/>
    </xf>
    <xf numFmtId="0" fontId="2" fillId="3" borderId="23" xfId="0" applyFont="1" applyFill="1" applyBorder="1" applyAlignment="1">
      <alignment horizontal="center" vertical="top" wrapText="1"/>
    </xf>
    <xf numFmtId="0" fontId="2" fillId="3" borderId="3" xfId="0" applyFont="1" applyFill="1" applyBorder="1" applyAlignment="1">
      <alignment horizontal="center" vertical="top" wrapText="1"/>
    </xf>
    <xf numFmtId="0" fontId="13" fillId="3" borderId="41" xfId="0" applyFont="1" applyFill="1" applyBorder="1" applyAlignment="1">
      <alignment horizontal="center" vertical="center"/>
    </xf>
    <xf numFmtId="0" fontId="13" fillId="3" borderId="17" xfId="0" applyFont="1" applyFill="1" applyBorder="1" applyAlignment="1">
      <alignment horizontal="center" vertical="center"/>
    </xf>
    <xf numFmtId="0" fontId="13" fillId="3" borderId="18" xfId="0" applyFont="1" applyFill="1" applyBorder="1" applyAlignment="1">
      <alignment horizontal="center" vertical="center"/>
    </xf>
    <xf numFmtId="0" fontId="2" fillId="3" borderId="4" xfId="0" applyFont="1" applyFill="1" applyBorder="1" applyAlignment="1">
      <alignment horizontal="left" vertical="top" wrapText="1"/>
    </xf>
    <xf numFmtId="0" fontId="2" fillId="3" borderId="27" xfId="0" applyFont="1" applyFill="1" applyBorder="1" applyAlignment="1">
      <alignment horizontal="left" vertical="top" wrapText="1"/>
    </xf>
    <xf numFmtId="0" fontId="2" fillId="3" borderId="5" xfId="0" applyFont="1" applyFill="1" applyBorder="1" applyAlignment="1">
      <alignment horizontal="center" vertical="top" wrapText="1"/>
    </xf>
    <xf numFmtId="0" fontId="2" fillId="3" borderId="28" xfId="0" applyFont="1" applyFill="1" applyBorder="1" applyAlignment="1">
      <alignment horizontal="center" vertical="top" wrapText="1"/>
    </xf>
    <xf numFmtId="0" fontId="2" fillId="3" borderId="1" xfId="0" applyFont="1" applyFill="1" applyBorder="1" applyAlignment="1">
      <alignment horizontal="center" vertical="top" wrapText="1"/>
    </xf>
    <xf numFmtId="0" fontId="2" fillId="3" borderId="2" xfId="0" applyFont="1" applyFill="1" applyBorder="1" applyAlignment="1">
      <alignment horizontal="center" vertical="top" wrapText="1"/>
    </xf>
    <xf numFmtId="0" fontId="27" fillId="3" borderId="33" xfId="0" applyFont="1" applyFill="1" applyBorder="1" applyAlignment="1">
      <alignment horizontal="center" vertical="top" wrapText="1"/>
    </xf>
    <xf numFmtId="0" fontId="27" fillId="3" borderId="34" xfId="0" applyFont="1" applyFill="1" applyBorder="1" applyAlignment="1">
      <alignment horizontal="center" vertical="top" wrapText="1"/>
    </xf>
    <xf numFmtId="0" fontId="27" fillId="3" borderId="32" xfId="0" applyFont="1" applyFill="1" applyBorder="1" applyAlignment="1">
      <alignment horizontal="left" vertical="top" wrapText="1"/>
    </xf>
    <xf numFmtId="0" fontId="27" fillId="3" borderId="35" xfId="0" applyFont="1" applyFill="1" applyBorder="1" applyAlignment="1">
      <alignment horizontal="left" vertical="top" wrapText="1"/>
    </xf>
    <xf numFmtId="0" fontId="27" fillId="3" borderId="36" xfId="0" applyFont="1" applyFill="1" applyBorder="1" applyAlignment="1">
      <alignment horizontal="center" vertical="top" wrapText="1"/>
    </xf>
    <xf numFmtId="0" fontId="16" fillId="2" borderId="0" xfId="0" applyFont="1" applyFill="1" applyAlignment="1">
      <alignment horizontal="left" vertical="center" wrapText="1"/>
    </xf>
    <xf numFmtId="0" fontId="48" fillId="20" borderId="73" xfId="0" applyFont="1" applyFill="1" applyBorder="1" applyAlignment="1">
      <alignment horizontal="center" vertical="center" textRotation="90"/>
    </xf>
    <xf numFmtId="0" fontId="31" fillId="20" borderId="0" xfId="0" applyFont="1" applyFill="1" applyAlignment="1">
      <alignment horizontal="center"/>
    </xf>
    <xf numFmtId="0" fontId="52" fillId="25" borderId="32" xfId="0" applyFont="1" applyFill="1" applyBorder="1" applyAlignment="1">
      <alignment horizontal="center" vertical="center"/>
    </xf>
    <xf numFmtId="0" fontId="52" fillId="25" borderId="35" xfId="0" applyFont="1" applyFill="1" applyBorder="1" applyAlignment="1">
      <alignment horizontal="center" vertical="center"/>
    </xf>
    <xf numFmtId="0" fontId="52" fillId="25" borderId="33" xfId="0" applyFont="1" applyFill="1" applyBorder="1" applyAlignment="1">
      <alignment horizontal="center"/>
    </xf>
    <xf numFmtId="0" fontId="52" fillId="25" borderId="34" xfId="0" applyFont="1" applyFill="1" applyBorder="1" applyAlignment="1">
      <alignment horizontal="center"/>
    </xf>
    <xf numFmtId="0" fontId="57" fillId="27" borderId="10" xfId="0" applyFont="1" applyFill="1" applyBorder="1" applyAlignment="1">
      <alignment horizontal="center"/>
    </xf>
    <xf numFmtId="0" fontId="57" fillId="27" borderId="10" xfId="0" applyFont="1" applyFill="1" applyBorder="1" applyAlignment="1">
      <alignment horizontal="center" vertical="center"/>
    </xf>
    <xf numFmtId="0" fontId="31" fillId="15" borderId="83" xfId="0" applyFont="1" applyFill="1" applyBorder="1" applyAlignment="1">
      <alignment horizontal="center" vertical="center" wrapText="1"/>
    </xf>
    <xf numFmtId="0" fontId="31" fillId="15" borderId="76" xfId="0" applyFont="1" applyFill="1" applyBorder="1" applyAlignment="1">
      <alignment horizontal="center" vertical="center" wrapText="1"/>
    </xf>
    <xf numFmtId="0" fontId="31" fillId="15" borderId="64" xfId="0" applyFont="1" applyFill="1" applyBorder="1" applyAlignment="1">
      <alignment horizontal="center" vertical="center" wrapText="1"/>
    </xf>
    <xf numFmtId="0" fontId="31" fillId="15" borderId="36" xfId="0" applyFont="1" applyFill="1" applyBorder="1" applyAlignment="1">
      <alignment horizontal="center" vertical="center" wrapText="1"/>
    </xf>
    <xf numFmtId="0" fontId="31" fillId="15" borderId="64" xfId="0" applyFont="1" applyFill="1" applyBorder="1" applyAlignment="1">
      <alignment horizontal="center" vertical="center"/>
    </xf>
    <xf numFmtId="0" fontId="40" fillId="22" borderId="63" xfId="0" applyFont="1" applyFill="1" applyBorder="1" applyAlignment="1">
      <alignment horizontal="left" vertical="center"/>
    </xf>
    <xf numFmtId="0" fontId="40" fillId="22" borderId="68" xfId="0" applyFont="1" applyFill="1" applyBorder="1" applyAlignment="1">
      <alignment horizontal="left" vertical="center"/>
    </xf>
    <xf numFmtId="0" fontId="40" fillId="22" borderId="84" xfId="0" applyFont="1" applyFill="1" applyBorder="1" applyAlignment="1">
      <alignment horizontal="center"/>
    </xf>
    <xf numFmtId="0" fontId="40" fillId="22" borderId="78" xfId="0" applyFont="1" applyFill="1" applyBorder="1" applyAlignment="1">
      <alignment horizontal="center"/>
    </xf>
    <xf numFmtId="0" fontId="40" fillId="22" borderId="85" xfId="0" applyFont="1" applyFill="1" applyBorder="1" applyAlignment="1">
      <alignment horizontal="center"/>
    </xf>
    <xf numFmtId="0" fontId="53" fillId="23" borderId="80" xfId="0" applyFont="1" applyFill="1" applyBorder="1" applyAlignment="1">
      <alignment horizontal="center"/>
    </xf>
    <xf numFmtId="0" fontId="53" fillId="23" borderId="0" xfId="0" applyFont="1" applyFill="1" applyAlignment="1">
      <alignment horizontal="center"/>
    </xf>
    <xf numFmtId="0" fontId="40" fillId="22" borderId="86" xfId="0" applyFont="1" applyFill="1" applyBorder="1" applyAlignment="1">
      <alignment horizontal="center"/>
    </xf>
    <xf numFmtId="0" fontId="40" fillId="22" borderId="87" xfId="0" applyFont="1" applyFill="1" applyBorder="1" applyAlignment="1">
      <alignment horizontal="center"/>
    </xf>
    <xf numFmtId="0" fontId="31" fillId="15" borderId="63" xfId="0" applyFont="1" applyFill="1" applyBorder="1" applyAlignment="1">
      <alignment horizontal="center" vertical="center" wrapText="1"/>
    </xf>
    <xf numFmtId="0" fontId="31" fillId="15" borderId="66" xfId="0" applyFont="1" applyFill="1" applyBorder="1" applyAlignment="1">
      <alignment horizontal="center" vertical="center" wrapText="1"/>
    </xf>
    <xf numFmtId="0" fontId="35" fillId="0" borderId="0" xfId="0" applyFont="1" applyAlignment="1">
      <alignment horizontal="right"/>
    </xf>
    <xf numFmtId="0" fontId="40" fillId="22" borderId="66" xfId="0" applyFont="1" applyFill="1" applyBorder="1" applyAlignment="1">
      <alignment horizontal="left" vertical="center"/>
    </xf>
    <xf numFmtId="0" fontId="40" fillId="22" borderId="64" xfId="0" applyFont="1" applyFill="1" applyBorder="1" applyAlignment="1">
      <alignment horizontal="center" vertical="center"/>
    </xf>
    <xf numFmtId="0" fontId="53" fillId="23" borderId="0" xfId="0" applyFont="1" applyFill="1" applyAlignment="1">
      <alignment horizontal="left" vertical="center"/>
    </xf>
    <xf numFmtId="0" fontId="35" fillId="0" borderId="70" xfId="0" applyFont="1" applyBorder="1" applyAlignment="1">
      <alignment horizontal="right"/>
    </xf>
    <xf numFmtId="0" fontId="35" fillId="0" borderId="71" xfId="0" applyFont="1" applyBorder="1" applyAlignment="1">
      <alignment horizontal="right"/>
    </xf>
    <xf numFmtId="0" fontId="31" fillId="15" borderId="65" xfId="0" applyFont="1" applyFill="1" applyBorder="1" applyAlignment="1">
      <alignment horizontal="center" vertical="center"/>
    </xf>
    <xf numFmtId="0" fontId="35" fillId="12" borderId="19" xfId="0" applyFont="1" applyFill="1" applyBorder="1" applyAlignment="1">
      <alignment horizontal="center"/>
    </xf>
    <xf numFmtId="0" fontId="35" fillId="12" borderId="20" xfId="0" applyFont="1" applyFill="1" applyBorder="1" applyAlignment="1">
      <alignment horizontal="center"/>
    </xf>
    <xf numFmtId="0" fontId="0" fillId="0" borderId="0" xfId="0" applyAlignment="1">
      <alignment horizontal="center"/>
    </xf>
  </cellXfs>
  <cellStyles count="9">
    <cellStyle name="Comma" xfId="8" builtinId="3"/>
    <cellStyle name="Comma 2" xfId="5" xr:uid="{00000000-0005-0000-0000-00002F000000}"/>
    <cellStyle name="Hyperlink" xfId="7" builtinId="8"/>
    <cellStyle name="Normal" xfId="0" builtinId="0"/>
    <cellStyle name="Normal 2" xfId="2" xr:uid="{00000000-0005-0000-0000-000001000000}"/>
    <cellStyle name="Normal 3" xfId="3" xr:uid="{00000000-0005-0000-0000-000002000000}"/>
    <cellStyle name="Normal 3 2" xfId="4" xr:uid="{00000000-0005-0000-0000-000003000000}"/>
    <cellStyle name="Normal 4" xfId="1" xr:uid="{00000000-0005-0000-0000-000004000000}"/>
    <cellStyle name="Percent" xfId="6" builtinId="5"/>
  </cellStyles>
  <dxfs count="93">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theme="0"/>
      </font>
      <fill>
        <patternFill>
          <bgColor rgb="FFE60000"/>
        </patternFill>
      </fill>
    </dxf>
    <dxf>
      <font>
        <color theme="0"/>
      </font>
      <fill>
        <patternFill>
          <bgColor rgb="FFEA5F00"/>
        </patternFill>
      </fill>
    </dxf>
    <dxf>
      <font>
        <color rgb="FF9C5700"/>
      </font>
      <fill>
        <patternFill>
          <bgColor rgb="FFFFEB9C"/>
        </patternFill>
      </fill>
    </dxf>
    <dxf>
      <font>
        <strike val="0"/>
        <color theme="0"/>
      </font>
      <fill>
        <patternFill>
          <bgColor rgb="FF456D2D"/>
        </patternFill>
      </fill>
    </dxf>
    <dxf>
      <font>
        <strike val="0"/>
        <color auto="1"/>
      </font>
      <fill>
        <patternFill>
          <bgColor rgb="FF00E621"/>
        </patternFill>
      </fill>
    </dxf>
    <dxf>
      <font>
        <strike val="0"/>
        <color theme="0"/>
      </font>
      <fill>
        <patternFill>
          <bgColor rgb="FFFF6801"/>
        </patternFill>
      </fill>
    </dxf>
    <dxf>
      <font>
        <strike val="0"/>
        <color theme="0"/>
      </font>
      <fill>
        <patternFill>
          <bgColor rgb="FFD60000"/>
        </patternFill>
      </fill>
    </dxf>
    <dxf>
      <font>
        <color rgb="FF9C5700"/>
      </font>
      <fill>
        <patternFill>
          <bgColor rgb="FFFFEB9C"/>
        </patternFill>
      </fill>
    </dxf>
    <dxf>
      <font>
        <strike val="0"/>
        <color theme="0"/>
      </font>
      <fill>
        <patternFill>
          <bgColor rgb="FF669900"/>
        </patternFill>
      </fill>
    </dxf>
    <dxf>
      <font>
        <strike val="0"/>
        <color theme="1"/>
      </font>
      <fill>
        <patternFill>
          <bgColor rgb="FF23F200"/>
        </patternFill>
      </fill>
    </dxf>
    <dxf>
      <font>
        <color theme="0"/>
      </font>
      <fill>
        <patternFill>
          <bgColor rgb="FFE60000"/>
        </patternFill>
      </fill>
    </dxf>
    <dxf>
      <font>
        <color theme="0"/>
      </font>
      <fill>
        <patternFill>
          <bgColor rgb="FFEA5F00"/>
        </patternFill>
      </fill>
    </dxf>
    <dxf>
      <font>
        <color rgb="FF9C5700"/>
      </font>
      <fill>
        <patternFill>
          <bgColor rgb="FFFFEB9C"/>
        </patternFill>
      </fill>
    </dxf>
    <dxf>
      <font>
        <strike val="0"/>
        <color theme="0"/>
      </font>
      <fill>
        <patternFill>
          <bgColor rgb="FF456D2D"/>
        </patternFill>
      </fill>
    </dxf>
    <dxf>
      <font>
        <strike val="0"/>
        <color auto="1"/>
      </font>
      <fill>
        <patternFill>
          <bgColor rgb="FF00E621"/>
        </patternFill>
      </fill>
    </dxf>
    <dxf>
      <font>
        <strike val="0"/>
        <color theme="0"/>
      </font>
      <fill>
        <patternFill>
          <bgColor rgb="FFFF6801"/>
        </patternFill>
      </fill>
    </dxf>
    <dxf>
      <font>
        <strike val="0"/>
        <color theme="0"/>
      </font>
      <fill>
        <patternFill>
          <bgColor rgb="FFD60000"/>
        </patternFill>
      </fill>
    </dxf>
    <dxf>
      <font>
        <color rgb="FF9C5700"/>
      </font>
      <fill>
        <patternFill>
          <bgColor rgb="FFFFEB9C"/>
        </patternFill>
      </fill>
    </dxf>
    <dxf>
      <font>
        <strike val="0"/>
        <color theme="0"/>
      </font>
      <fill>
        <patternFill>
          <bgColor rgb="FF669900"/>
        </patternFill>
      </fill>
    </dxf>
    <dxf>
      <font>
        <strike val="0"/>
        <color theme="1"/>
      </font>
      <fill>
        <patternFill>
          <bgColor rgb="FF23F200"/>
        </patternFill>
      </fill>
    </dxf>
    <dxf>
      <font>
        <color theme="0"/>
      </font>
      <fill>
        <patternFill>
          <bgColor rgb="FFE60000"/>
        </patternFill>
      </fill>
    </dxf>
    <dxf>
      <font>
        <color theme="0"/>
      </font>
      <fill>
        <patternFill>
          <bgColor rgb="FFEA5F00"/>
        </patternFill>
      </fill>
    </dxf>
    <dxf>
      <font>
        <color rgb="FF9C5700"/>
      </font>
      <fill>
        <patternFill>
          <bgColor rgb="FFFFEB9C"/>
        </patternFill>
      </fill>
    </dxf>
    <dxf>
      <font>
        <strike val="0"/>
        <color theme="0"/>
      </font>
      <fill>
        <patternFill>
          <bgColor rgb="FF456D2D"/>
        </patternFill>
      </fill>
    </dxf>
    <dxf>
      <font>
        <strike val="0"/>
        <color auto="1"/>
      </font>
      <fill>
        <patternFill>
          <bgColor rgb="FF00E621"/>
        </patternFill>
      </fill>
    </dxf>
    <dxf>
      <font>
        <strike val="0"/>
        <color theme="0"/>
      </font>
      <fill>
        <patternFill>
          <bgColor rgb="FFFF6801"/>
        </patternFill>
      </fill>
    </dxf>
    <dxf>
      <font>
        <strike val="0"/>
        <color theme="0"/>
      </font>
      <fill>
        <patternFill>
          <bgColor rgb="FFD60000"/>
        </patternFill>
      </fill>
    </dxf>
    <dxf>
      <font>
        <color rgb="FF9C5700"/>
      </font>
      <fill>
        <patternFill>
          <bgColor rgb="FFFFEB9C"/>
        </patternFill>
      </fill>
    </dxf>
    <dxf>
      <font>
        <strike val="0"/>
        <color theme="0"/>
      </font>
      <fill>
        <patternFill>
          <bgColor rgb="FF669900"/>
        </patternFill>
      </fill>
    </dxf>
    <dxf>
      <font>
        <strike val="0"/>
        <color theme="1"/>
      </font>
      <fill>
        <patternFill>
          <bgColor rgb="FF23F200"/>
        </patternFill>
      </fill>
    </dxf>
    <dxf>
      <font>
        <color theme="0"/>
      </font>
      <fill>
        <patternFill>
          <bgColor rgb="FFE60000"/>
        </patternFill>
      </fill>
    </dxf>
    <dxf>
      <font>
        <color theme="0"/>
      </font>
      <fill>
        <patternFill>
          <bgColor rgb="FFEA5F00"/>
        </patternFill>
      </fill>
    </dxf>
    <dxf>
      <font>
        <color rgb="FF9C5700"/>
      </font>
      <fill>
        <patternFill>
          <bgColor rgb="FFFFEB9C"/>
        </patternFill>
      </fill>
    </dxf>
    <dxf>
      <font>
        <strike val="0"/>
        <color theme="0"/>
      </font>
      <fill>
        <patternFill>
          <bgColor rgb="FF456D2D"/>
        </patternFill>
      </fill>
    </dxf>
    <dxf>
      <font>
        <strike val="0"/>
        <color auto="1"/>
      </font>
      <fill>
        <patternFill>
          <bgColor rgb="FF00E621"/>
        </patternFill>
      </fill>
    </dxf>
    <dxf>
      <font>
        <strike val="0"/>
        <color theme="0"/>
      </font>
      <fill>
        <patternFill>
          <bgColor rgb="FFFF6801"/>
        </patternFill>
      </fill>
    </dxf>
    <dxf>
      <font>
        <strike val="0"/>
        <color theme="0"/>
      </font>
      <fill>
        <patternFill>
          <bgColor rgb="FFD60000"/>
        </patternFill>
      </fill>
    </dxf>
    <dxf>
      <font>
        <color rgb="FF9C5700"/>
      </font>
      <fill>
        <patternFill>
          <bgColor rgb="FFFFEB9C"/>
        </patternFill>
      </fill>
    </dxf>
    <dxf>
      <font>
        <strike val="0"/>
        <color theme="0"/>
      </font>
      <fill>
        <patternFill>
          <bgColor rgb="FF669900"/>
        </patternFill>
      </fill>
    </dxf>
    <dxf>
      <font>
        <strike val="0"/>
        <color theme="1"/>
      </font>
      <fill>
        <patternFill>
          <bgColor rgb="FF23F200"/>
        </patternFill>
      </fill>
    </dxf>
    <dxf>
      <font>
        <color theme="0"/>
      </font>
      <fill>
        <patternFill>
          <bgColor rgb="FFE60000"/>
        </patternFill>
      </fill>
    </dxf>
    <dxf>
      <font>
        <color theme="0"/>
      </font>
      <fill>
        <patternFill>
          <bgColor rgb="FFEA5F00"/>
        </patternFill>
      </fill>
    </dxf>
    <dxf>
      <font>
        <color rgb="FF9C5700"/>
      </font>
      <fill>
        <patternFill>
          <bgColor rgb="FFFFEB9C"/>
        </patternFill>
      </fill>
    </dxf>
    <dxf>
      <font>
        <strike val="0"/>
        <color theme="0"/>
      </font>
      <fill>
        <patternFill>
          <bgColor rgb="FF456D2D"/>
        </patternFill>
      </fill>
    </dxf>
    <dxf>
      <font>
        <strike val="0"/>
        <color auto="1"/>
      </font>
      <fill>
        <patternFill>
          <bgColor rgb="FF00E621"/>
        </patternFill>
      </fill>
    </dxf>
    <dxf>
      <font>
        <strike val="0"/>
        <color theme="0"/>
      </font>
      <fill>
        <patternFill>
          <bgColor rgb="FFFF6801"/>
        </patternFill>
      </fill>
    </dxf>
    <dxf>
      <font>
        <strike val="0"/>
        <color theme="0"/>
      </font>
      <fill>
        <patternFill>
          <bgColor rgb="FFD60000"/>
        </patternFill>
      </fill>
    </dxf>
    <dxf>
      <font>
        <color rgb="FF9C5700"/>
      </font>
      <fill>
        <patternFill>
          <bgColor rgb="FFFFEB9C"/>
        </patternFill>
      </fill>
    </dxf>
    <dxf>
      <font>
        <strike val="0"/>
        <color theme="0"/>
      </font>
      <fill>
        <patternFill>
          <bgColor rgb="FF669900"/>
        </patternFill>
      </fill>
    </dxf>
    <dxf>
      <font>
        <strike val="0"/>
        <color theme="1"/>
      </font>
      <fill>
        <patternFill>
          <bgColor rgb="FF23F200"/>
        </patternFill>
      </fill>
    </dxf>
    <dxf>
      <font>
        <color theme="0"/>
      </font>
      <fill>
        <patternFill>
          <bgColor rgb="FFE60000"/>
        </patternFill>
      </fill>
    </dxf>
    <dxf>
      <font>
        <color theme="0"/>
      </font>
      <fill>
        <patternFill>
          <bgColor rgb="FFEA5F00"/>
        </patternFill>
      </fill>
    </dxf>
    <dxf>
      <font>
        <color rgb="FF9C5700"/>
      </font>
      <fill>
        <patternFill>
          <bgColor rgb="FFFFEB9C"/>
        </patternFill>
      </fill>
    </dxf>
    <dxf>
      <font>
        <strike val="0"/>
        <color theme="0"/>
      </font>
      <fill>
        <patternFill>
          <bgColor rgb="FF456D2D"/>
        </patternFill>
      </fill>
    </dxf>
    <dxf>
      <font>
        <strike val="0"/>
        <color auto="1"/>
      </font>
      <fill>
        <patternFill>
          <bgColor rgb="FF00E621"/>
        </patternFill>
      </fill>
    </dxf>
    <dxf>
      <font>
        <strike val="0"/>
        <color theme="0"/>
      </font>
      <fill>
        <patternFill>
          <bgColor rgb="FFFF6801"/>
        </patternFill>
      </fill>
    </dxf>
    <dxf>
      <font>
        <strike val="0"/>
        <color theme="0"/>
      </font>
      <fill>
        <patternFill>
          <bgColor rgb="FFD60000"/>
        </patternFill>
      </fill>
    </dxf>
    <dxf>
      <font>
        <color rgb="FF9C5700"/>
      </font>
      <fill>
        <patternFill>
          <bgColor rgb="FFFFEB9C"/>
        </patternFill>
      </fill>
    </dxf>
    <dxf>
      <font>
        <strike val="0"/>
        <color theme="0"/>
      </font>
      <fill>
        <patternFill>
          <bgColor rgb="FF669900"/>
        </patternFill>
      </fill>
    </dxf>
    <dxf>
      <font>
        <strike val="0"/>
        <color theme="1"/>
      </font>
      <fill>
        <patternFill>
          <bgColor rgb="FF23F200"/>
        </patternFill>
      </fill>
    </dxf>
    <dxf>
      <font>
        <color theme="0"/>
      </font>
      <fill>
        <patternFill>
          <bgColor rgb="FFE60000"/>
        </patternFill>
      </fill>
    </dxf>
    <dxf>
      <font>
        <color theme="0"/>
      </font>
      <fill>
        <patternFill>
          <bgColor rgb="FFEA5F00"/>
        </patternFill>
      </fill>
    </dxf>
    <dxf>
      <font>
        <color rgb="FF9C5700"/>
      </font>
      <fill>
        <patternFill>
          <bgColor rgb="FFFFEB9C"/>
        </patternFill>
      </fill>
    </dxf>
    <dxf>
      <font>
        <strike val="0"/>
        <color theme="0"/>
      </font>
      <fill>
        <patternFill>
          <bgColor rgb="FF456D2D"/>
        </patternFill>
      </fill>
    </dxf>
    <dxf>
      <font>
        <strike val="0"/>
        <color auto="1"/>
      </font>
      <fill>
        <patternFill>
          <bgColor rgb="FF00E621"/>
        </patternFill>
      </fill>
    </dxf>
    <dxf>
      <font>
        <strike val="0"/>
        <color theme="0"/>
      </font>
      <fill>
        <patternFill>
          <bgColor rgb="FFFF6801"/>
        </patternFill>
      </fill>
    </dxf>
    <dxf>
      <font>
        <strike val="0"/>
        <color theme="0"/>
      </font>
      <fill>
        <patternFill>
          <bgColor rgb="FFD60000"/>
        </patternFill>
      </fill>
    </dxf>
    <dxf>
      <font>
        <color rgb="FF9C5700"/>
      </font>
      <fill>
        <patternFill>
          <bgColor rgb="FFFFEB9C"/>
        </patternFill>
      </fill>
    </dxf>
    <dxf>
      <font>
        <strike val="0"/>
        <color theme="0"/>
      </font>
      <fill>
        <patternFill>
          <bgColor rgb="FF669900"/>
        </patternFill>
      </fill>
    </dxf>
    <dxf>
      <font>
        <strike val="0"/>
        <color theme="1"/>
      </font>
      <fill>
        <patternFill>
          <bgColor rgb="FF23F200"/>
        </patternFill>
      </fill>
    </dxf>
    <dxf>
      <font>
        <color theme="0"/>
      </font>
      <fill>
        <patternFill>
          <bgColor rgb="FFE60000"/>
        </patternFill>
      </fill>
    </dxf>
    <dxf>
      <font>
        <color theme="0"/>
      </font>
      <fill>
        <patternFill>
          <bgColor rgb="FFEA5F00"/>
        </patternFill>
      </fill>
    </dxf>
    <dxf>
      <font>
        <color rgb="FF9C5700"/>
      </font>
      <fill>
        <patternFill>
          <bgColor rgb="FFFFEB9C"/>
        </patternFill>
      </fill>
    </dxf>
    <dxf>
      <font>
        <strike val="0"/>
        <color theme="0"/>
      </font>
      <fill>
        <patternFill>
          <bgColor rgb="FF456D2D"/>
        </patternFill>
      </fill>
    </dxf>
    <dxf>
      <font>
        <strike val="0"/>
        <color auto="1"/>
      </font>
      <fill>
        <patternFill>
          <bgColor rgb="FF00E621"/>
        </patternFill>
      </fill>
    </dxf>
    <dxf>
      <font>
        <strike val="0"/>
        <color theme="0"/>
      </font>
      <fill>
        <patternFill>
          <bgColor rgb="FFFF6801"/>
        </patternFill>
      </fill>
    </dxf>
    <dxf>
      <font>
        <strike val="0"/>
        <color theme="0"/>
      </font>
      <fill>
        <patternFill>
          <bgColor rgb="FFD60000"/>
        </patternFill>
      </fill>
    </dxf>
    <dxf>
      <font>
        <color rgb="FF9C5700"/>
      </font>
      <fill>
        <patternFill>
          <bgColor rgb="FFFFEB9C"/>
        </patternFill>
      </fill>
    </dxf>
    <dxf>
      <font>
        <strike val="0"/>
        <color theme="0"/>
      </font>
      <fill>
        <patternFill>
          <bgColor rgb="FF669900"/>
        </patternFill>
      </fill>
    </dxf>
    <dxf>
      <font>
        <strike val="0"/>
        <color theme="1"/>
      </font>
      <fill>
        <patternFill>
          <bgColor rgb="FF23F200"/>
        </patternFill>
      </fill>
    </dxf>
  </dxfs>
  <tableStyles count="0" defaultTableStyle="TableStyleMedium2" defaultPivotStyle="PivotStyleLight16"/>
  <colors>
    <mruColors>
      <color rgb="FFE60000"/>
      <color rgb="FFD05400"/>
      <color rgb="FF456D2D"/>
      <color rgb="FF00E621"/>
      <color rgb="FFD60000"/>
      <color rgb="FFEA5F00"/>
      <color rgb="FF23F200"/>
      <color rgb="FF669900"/>
      <color rgb="FFFF6801"/>
      <color rgb="FFDE00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5.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externalLink" Target="externalLinks/externalLink8.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4.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3.xml"/><Relationship Id="rId20" Type="http://schemas.openxmlformats.org/officeDocument/2006/relationships/externalLink" Target="externalLinks/externalLink7.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1.xml"/><Relationship Id="rId32" Type="http://schemas.microsoft.com/office/2017/10/relationships/person" Target="persons/person.xml"/><Relationship Id="rId5" Type="http://schemas.openxmlformats.org/officeDocument/2006/relationships/worksheet" Target="worksheets/sheet5.xml"/><Relationship Id="rId15" Type="http://schemas.openxmlformats.org/officeDocument/2006/relationships/externalLink" Target="externalLinks/externalLink2.xml"/><Relationship Id="rId23" Type="http://schemas.openxmlformats.org/officeDocument/2006/relationships/externalLink" Target="externalLinks/externalLink10.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6.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1.xml"/><Relationship Id="rId22" Type="http://schemas.openxmlformats.org/officeDocument/2006/relationships/externalLink" Target="externalLinks/externalLink9.xml"/><Relationship Id="rId27" Type="http://schemas.openxmlformats.org/officeDocument/2006/relationships/sharedStrings" Target="sharedStrings.xml"/><Relationship Id="rId30"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xdr:col>
      <xdr:colOff>36195</xdr:colOff>
      <xdr:row>2</xdr:row>
      <xdr:rowOff>26671</xdr:rowOff>
    </xdr:from>
    <xdr:to>
      <xdr:col>13</xdr:col>
      <xdr:colOff>516255</xdr:colOff>
      <xdr:row>22</xdr:row>
      <xdr:rowOff>16358</xdr:rowOff>
    </xdr:to>
    <xdr:pic>
      <xdr:nvPicPr>
        <xdr:cNvPr id="2" name="Picture 1">
          <a:extLst>
            <a:ext uri="{FF2B5EF4-FFF2-40B4-BE49-F238E27FC236}">
              <a16:creationId xmlns:a16="http://schemas.microsoft.com/office/drawing/2014/main" id="{A556C520-BA2B-4782-8477-37184953275E}"/>
            </a:ext>
          </a:extLst>
        </xdr:cNvPr>
        <xdr:cNvPicPr>
          <a:picLocks noChangeAspect="1"/>
        </xdr:cNvPicPr>
      </xdr:nvPicPr>
      <xdr:blipFill>
        <a:blip xmlns:r="http://schemas.openxmlformats.org/officeDocument/2006/relationships" r:embed="rId1"/>
        <a:stretch>
          <a:fillRect/>
        </a:stretch>
      </xdr:blipFill>
      <xdr:spPr>
        <a:xfrm>
          <a:off x="407670" y="493396"/>
          <a:ext cx="7802880" cy="3612997"/>
        </a:xfrm>
        <a:prstGeom prst="rect">
          <a:avLst/>
        </a:prstGeom>
      </xdr:spPr>
    </xdr:pic>
    <xdr:clientData/>
  </xdr:twoCellAnchor>
  <xdr:twoCellAnchor editAs="oneCell">
    <xdr:from>
      <xdr:col>0</xdr:col>
      <xdr:colOff>369570</xdr:colOff>
      <xdr:row>24</xdr:row>
      <xdr:rowOff>1</xdr:rowOff>
    </xdr:from>
    <xdr:to>
      <xdr:col>7</xdr:col>
      <xdr:colOff>59885</xdr:colOff>
      <xdr:row>37</xdr:row>
      <xdr:rowOff>97156</xdr:rowOff>
    </xdr:to>
    <xdr:pic>
      <xdr:nvPicPr>
        <xdr:cNvPr id="3" name="Picture 2">
          <a:extLst>
            <a:ext uri="{FF2B5EF4-FFF2-40B4-BE49-F238E27FC236}">
              <a16:creationId xmlns:a16="http://schemas.microsoft.com/office/drawing/2014/main" id="{6E158CF9-22AF-477E-9E86-AA614DFA065A}"/>
            </a:ext>
          </a:extLst>
        </xdr:cNvPr>
        <xdr:cNvPicPr>
          <a:picLocks noChangeAspect="1"/>
        </xdr:cNvPicPr>
      </xdr:nvPicPr>
      <xdr:blipFill>
        <a:blip xmlns:r="http://schemas.openxmlformats.org/officeDocument/2006/relationships" r:embed="rId2"/>
        <a:stretch>
          <a:fillRect/>
        </a:stretch>
      </xdr:blipFill>
      <xdr:spPr>
        <a:xfrm>
          <a:off x="369570" y="4448176"/>
          <a:ext cx="3730820" cy="2457450"/>
        </a:xfrm>
        <a:prstGeom prst="rect">
          <a:avLst/>
        </a:prstGeom>
      </xdr:spPr>
    </xdr:pic>
    <xdr:clientData/>
  </xdr:twoCellAnchor>
  <xdr:twoCellAnchor editAs="oneCell">
    <xdr:from>
      <xdr:col>7</xdr:col>
      <xdr:colOff>175259</xdr:colOff>
      <xdr:row>24</xdr:row>
      <xdr:rowOff>1</xdr:rowOff>
    </xdr:from>
    <xdr:to>
      <xdr:col>13</xdr:col>
      <xdr:colOff>474345</xdr:colOff>
      <xdr:row>37</xdr:row>
      <xdr:rowOff>114300</xdr:rowOff>
    </xdr:to>
    <xdr:pic>
      <xdr:nvPicPr>
        <xdr:cNvPr id="4" name="Picture 3">
          <a:extLst>
            <a:ext uri="{FF2B5EF4-FFF2-40B4-BE49-F238E27FC236}">
              <a16:creationId xmlns:a16="http://schemas.microsoft.com/office/drawing/2014/main" id="{0D1C1FC1-F783-4B85-815A-EF0C41C64B6A}"/>
            </a:ext>
          </a:extLst>
        </xdr:cNvPr>
        <xdr:cNvPicPr>
          <a:picLocks noChangeAspect="1"/>
        </xdr:cNvPicPr>
      </xdr:nvPicPr>
      <xdr:blipFill>
        <a:blip xmlns:r="http://schemas.openxmlformats.org/officeDocument/2006/relationships" r:embed="rId3"/>
        <a:stretch>
          <a:fillRect/>
        </a:stretch>
      </xdr:blipFill>
      <xdr:spPr>
        <a:xfrm>
          <a:off x="4204334" y="4448176"/>
          <a:ext cx="3968116" cy="2466974"/>
        </a:xfrm>
        <a:prstGeom prst="rect">
          <a:avLst/>
        </a:prstGeom>
      </xdr:spPr>
    </xdr:pic>
    <xdr:clientData/>
  </xdr:twoCellAnchor>
  <xdr:twoCellAnchor editAs="oneCell">
    <xdr:from>
      <xdr:col>1</xdr:col>
      <xdr:colOff>0</xdr:colOff>
      <xdr:row>40</xdr:row>
      <xdr:rowOff>91440</xdr:rowOff>
    </xdr:from>
    <xdr:to>
      <xdr:col>7</xdr:col>
      <xdr:colOff>283511</xdr:colOff>
      <xdr:row>57</xdr:row>
      <xdr:rowOff>57150</xdr:rowOff>
    </xdr:to>
    <xdr:pic>
      <xdr:nvPicPr>
        <xdr:cNvPr id="5" name="Picture 4">
          <a:extLst>
            <a:ext uri="{FF2B5EF4-FFF2-40B4-BE49-F238E27FC236}">
              <a16:creationId xmlns:a16="http://schemas.microsoft.com/office/drawing/2014/main" id="{E17D8194-2334-431D-B6C7-A456866C1EAE}"/>
            </a:ext>
          </a:extLst>
        </xdr:cNvPr>
        <xdr:cNvPicPr>
          <a:picLocks noChangeAspect="1"/>
        </xdr:cNvPicPr>
      </xdr:nvPicPr>
      <xdr:blipFill>
        <a:blip xmlns:r="http://schemas.openxmlformats.org/officeDocument/2006/relationships" r:embed="rId4"/>
        <a:stretch>
          <a:fillRect/>
        </a:stretch>
      </xdr:blipFill>
      <xdr:spPr>
        <a:xfrm>
          <a:off x="371475" y="7435215"/>
          <a:ext cx="3935396" cy="3042285"/>
        </a:xfrm>
        <a:prstGeom prst="rect">
          <a:avLst/>
        </a:prstGeom>
      </xdr:spPr>
    </xdr:pic>
    <xdr:clientData/>
  </xdr:twoCellAnchor>
  <xdr:twoCellAnchor editAs="oneCell">
    <xdr:from>
      <xdr:col>1</xdr:col>
      <xdr:colOff>38101</xdr:colOff>
      <xdr:row>60</xdr:row>
      <xdr:rowOff>93346</xdr:rowOff>
    </xdr:from>
    <xdr:to>
      <xdr:col>13</xdr:col>
      <xdr:colOff>550545</xdr:colOff>
      <xdr:row>88</xdr:row>
      <xdr:rowOff>152769</xdr:rowOff>
    </xdr:to>
    <xdr:pic>
      <xdr:nvPicPr>
        <xdr:cNvPr id="7" name="Picture 6">
          <a:extLst>
            <a:ext uri="{FF2B5EF4-FFF2-40B4-BE49-F238E27FC236}">
              <a16:creationId xmlns:a16="http://schemas.microsoft.com/office/drawing/2014/main" id="{2880D3EA-0DEF-4E87-B51D-8ABE40281C6A}"/>
            </a:ext>
          </a:extLst>
        </xdr:cNvPr>
        <xdr:cNvPicPr>
          <a:picLocks noChangeAspect="1"/>
        </xdr:cNvPicPr>
      </xdr:nvPicPr>
      <xdr:blipFill>
        <a:blip xmlns:r="http://schemas.openxmlformats.org/officeDocument/2006/relationships" r:embed="rId5"/>
        <a:stretch>
          <a:fillRect/>
        </a:stretch>
      </xdr:blipFill>
      <xdr:spPr>
        <a:xfrm>
          <a:off x="409576" y="13952221"/>
          <a:ext cx="7839074" cy="5126723"/>
        </a:xfrm>
        <a:prstGeom prst="rect">
          <a:avLst/>
        </a:prstGeom>
      </xdr:spPr>
    </xdr:pic>
    <xdr:clientData/>
  </xdr:twoCellAnchor>
  <xdr:twoCellAnchor editAs="oneCell">
    <xdr:from>
      <xdr:col>7</xdr:col>
      <xdr:colOff>371476</xdr:colOff>
      <xdr:row>40</xdr:row>
      <xdr:rowOff>57150</xdr:rowOff>
    </xdr:from>
    <xdr:to>
      <xdr:col>13</xdr:col>
      <xdr:colOff>474346</xdr:colOff>
      <xdr:row>57</xdr:row>
      <xdr:rowOff>53564</xdr:rowOff>
    </xdr:to>
    <xdr:pic>
      <xdr:nvPicPr>
        <xdr:cNvPr id="8" name="Picture 7">
          <a:extLst>
            <a:ext uri="{FF2B5EF4-FFF2-40B4-BE49-F238E27FC236}">
              <a16:creationId xmlns:a16="http://schemas.microsoft.com/office/drawing/2014/main" id="{8412C8ED-D516-449B-8AE4-7D85D9FEDFC7}"/>
            </a:ext>
          </a:extLst>
        </xdr:cNvPr>
        <xdr:cNvPicPr>
          <a:picLocks noChangeAspect="1"/>
        </xdr:cNvPicPr>
      </xdr:nvPicPr>
      <xdr:blipFill>
        <a:blip xmlns:r="http://schemas.openxmlformats.org/officeDocument/2006/relationships" r:embed="rId6"/>
        <a:stretch>
          <a:fillRect/>
        </a:stretch>
      </xdr:blipFill>
      <xdr:spPr>
        <a:xfrm>
          <a:off x="4400551" y="7400925"/>
          <a:ext cx="3771900" cy="3063464"/>
        </a:xfrm>
        <a:prstGeom prst="rect">
          <a:avLst/>
        </a:prstGeom>
      </xdr:spPr>
    </xdr:pic>
    <xdr:clientData/>
  </xdr:twoCellAnchor>
  <xdr:twoCellAnchor editAs="oneCell">
    <xdr:from>
      <xdr:col>1</xdr:col>
      <xdr:colOff>0</xdr:colOff>
      <xdr:row>92</xdr:row>
      <xdr:rowOff>0</xdr:rowOff>
    </xdr:from>
    <xdr:to>
      <xdr:col>13</xdr:col>
      <xdr:colOff>514350</xdr:colOff>
      <xdr:row>114</xdr:row>
      <xdr:rowOff>155011</xdr:rowOff>
    </xdr:to>
    <xdr:pic>
      <xdr:nvPicPr>
        <xdr:cNvPr id="9" name="Picture 8">
          <a:extLst>
            <a:ext uri="{FF2B5EF4-FFF2-40B4-BE49-F238E27FC236}">
              <a16:creationId xmlns:a16="http://schemas.microsoft.com/office/drawing/2014/main" id="{55A7FD2D-FE4A-454F-A4A5-72C2CF874DE5}"/>
            </a:ext>
          </a:extLst>
        </xdr:cNvPr>
        <xdr:cNvPicPr>
          <a:picLocks noChangeAspect="1"/>
        </xdr:cNvPicPr>
      </xdr:nvPicPr>
      <xdr:blipFill>
        <a:blip xmlns:r="http://schemas.openxmlformats.org/officeDocument/2006/relationships" r:embed="rId7"/>
        <a:stretch>
          <a:fillRect/>
        </a:stretch>
      </xdr:blipFill>
      <xdr:spPr>
        <a:xfrm>
          <a:off x="371475" y="16754475"/>
          <a:ext cx="7820025" cy="4136461"/>
        </a:xfrm>
        <a:prstGeom prst="rect">
          <a:avLst/>
        </a:prstGeom>
      </xdr:spPr>
    </xdr:pic>
    <xdr:clientData/>
  </xdr:twoCellAnchor>
  <xdr:twoCellAnchor editAs="oneCell">
    <xdr:from>
      <xdr:col>1</xdr:col>
      <xdr:colOff>1</xdr:colOff>
      <xdr:row>120</xdr:row>
      <xdr:rowOff>114300</xdr:rowOff>
    </xdr:from>
    <xdr:to>
      <xdr:col>13</xdr:col>
      <xdr:colOff>401998</xdr:colOff>
      <xdr:row>142</xdr:row>
      <xdr:rowOff>93345</xdr:rowOff>
    </xdr:to>
    <xdr:pic>
      <xdr:nvPicPr>
        <xdr:cNvPr id="10" name="Picture 9">
          <a:extLst>
            <a:ext uri="{FF2B5EF4-FFF2-40B4-BE49-F238E27FC236}">
              <a16:creationId xmlns:a16="http://schemas.microsoft.com/office/drawing/2014/main" id="{D1718DDB-9326-4510-8D05-495189C54CE1}"/>
            </a:ext>
          </a:extLst>
        </xdr:cNvPr>
        <xdr:cNvPicPr>
          <a:picLocks noChangeAspect="1"/>
        </xdr:cNvPicPr>
      </xdr:nvPicPr>
      <xdr:blipFill>
        <a:blip xmlns:r="http://schemas.openxmlformats.org/officeDocument/2006/relationships" r:embed="rId8"/>
        <a:stretch>
          <a:fillRect/>
        </a:stretch>
      </xdr:blipFill>
      <xdr:spPr>
        <a:xfrm>
          <a:off x="371476" y="28994100"/>
          <a:ext cx="7721007" cy="3964305"/>
        </a:xfrm>
        <a:prstGeom prst="rect">
          <a:avLst/>
        </a:prstGeom>
      </xdr:spPr>
    </xdr:pic>
    <xdr:clientData/>
  </xdr:twoCellAnchor>
  <xdr:twoCellAnchor editAs="oneCell">
    <xdr:from>
      <xdr:col>0</xdr:col>
      <xdr:colOff>99060</xdr:colOff>
      <xdr:row>167</xdr:row>
      <xdr:rowOff>38100</xdr:rowOff>
    </xdr:from>
    <xdr:to>
      <xdr:col>19</xdr:col>
      <xdr:colOff>373850</xdr:colOff>
      <xdr:row>203</xdr:row>
      <xdr:rowOff>121087</xdr:rowOff>
    </xdr:to>
    <xdr:pic>
      <xdr:nvPicPr>
        <xdr:cNvPr id="6" name="Picture 5">
          <a:extLst>
            <a:ext uri="{FF2B5EF4-FFF2-40B4-BE49-F238E27FC236}">
              <a16:creationId xmlns:a16="http://schemas.microsoft.com/office/drawing/2014/main" id="{AEFD209A-6EF4-48F6-BCF9-251BEF69D45A}"/>
            </a:ext>
          </a:extLst>
        </xdr:cNvPr>
        <xdr:cNvPicPr>
          <a:picLocks noChangeAspect="1"/>
        </xdr:cNvPicPr>
      </xdr:nvPicPr>
      <xdr:blipFill>
        <a:blip xmlns:r="http://schemas.openxmlformats.org/officeDocument/2006/relationships" r:embed="rId9"/>
        <a:stretch>
          <a:fillRect/>
        </a:stretch>
      </xdr:blipFill>
      <xdr:spPr>
        <a:xfrm>
          <a:off x="99060" y="31402020"/>
          <a:ext cx="11476190" cy="6666667"/>
        </a:xfrm>
        <a:prstGeom prst="rect">
          <a:avLst/>
        </a:prstGeom>
      </xdr:spPr>
    </xdr:pic>
    <xdr:clientData/>
  </xdr:twoCellAnchor>
  <xdr:twoCellAnchor editAs="oneCell">
    <xdr:from>
      <xdr:col>14</xdr:col>
      <xdr:colOff>266317</xdr:colOff>
      <xdr:row>114</xdr:row>
      <xdr:rowOff>13087</xdr:rowOff>
    </xdr:from>
    <xdr:to>
      <xdr:col>25</xdr:col>
      <xdr:colOff>228601</xdr:colOff>
      <xdr:row>142</xdr:row>
      <xdr:rowOff>181078</xdr:rowOff>
    </xdr:to>
    <xdr:pic>
      <xdr:nvPicPr>
        <xdr:cNvPr id="11" name="Picture 10">
          <a:extLst>
            <a:ext uri="{FF2B5EF4-FFF2-40B4-BE49-F238E27FC236}">
              <a16:creationId xmlns:a16="http://schemas.microsoft.com/office/drawing/2014/main" id="{D6AA8E89-E6F6-FC9F-7DEB-0F292A587CAE}"/>
            </a:ext>
          </a:extLst>
        </xdr:cNvPr>
        <xdr:cNvPicPr>
          <a:picLocks noChangeAspect="1"/>
        </xdr:cNvPicPr>
      </xdr:nvPicPr>
      <xdr:blipFill>
        <a:blip xmlns:r="http://schemas.openxmlformats.org/officeDocument/2006/relationships" r:embed="rId10"/>
        <a:stretch>
          <a:fillRect/>
        </a:stretch>
      </xdr:blipFill>
      <xdr:spPr>
        <a:xfrm>
          <a:off x="8419717" y="21340620"/>
          <a:ext cx="6667884" cy="54765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240030</xdr:colOff>
      <xdr:row>3</xdr:row>
      <xdr:rowOff>148590</xdr:rowOff>
    </xdr:from>
    <xdr:to>
      <xdr:col>9</xdr:col>
      <xdr:colOff>396240</xdr:colOff>
      <xdr:row>4</xdr:row>
      <xdr:rowOff>60960</xdr:rowOff>
    </xdr:to>
    <xdr:sp macro="" textlink="">
      <xdr:nvSpPr>
        <xdr:cNvPr id="2" name="Arrow: Down 1">
          <a:extLst>
            <a:ext uri="{FF2B5EF4-FFF2-40B4-BE49-F238E27FC236}">
              <a16:creationId xmlns:a16="http://schemas.microsoft.com/office/drawing/2014/main" id="{F737433E-CA74-468E-91C7-728FDD74F5B8}"/>
            </a:ext>
          </a:extLst>
        </xdr:cNvPr>
        <xdr:cNvSpPr/>
      </xdr:nvSpPr>
      <xdr:spPr>
        <a:xfrm rot="16200000">
          <a:off x="6717030" y="49530"/>
          <a:ext cx="95250" cy="1497330"/>
        </a:xfrm>
        <a:prstGeom prst="down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H" sz="1100"/>
        </a:p>
      </xdr:txBody>
    </xdr:sp>
    <xdr:clientData/>
  </xdr:twoCellAnchor>
  <xdr:twoCellAnchor>
    <xdr:from>
      <xdr:col>4</xdr:col>
      <xdr:colOff>346710</xdr:colOff>
      <xdr:row>10</xdr:row>
      <xdr:rowOff>163830</xdr:rowOff>
    </xdr:from>
    <xdr:to>
      <xdr:col>9</xdr:col>
      <xdr:colOff>457200</xdr:colOff>
      <xdr:row>11</xdr:row>
      <xdr:rowOff>76200</xdr:rowOff>
    </xdr:to>
    <xdr:sp macro="" textlink="">
      <xdr:nvSpPr>
        <xdr:cNvPr id="3" name="Arrow: Down 2">
          <a:extLst>
            <a:ext uri="{FF2B5EF4-FFF2-40B4-BE49-F238E27FC236}">
              <a16:creationId xmlns:a16="http://schemas.microsoft.com/office/drawing/2014/main" id="{85CA2C36-B57C-4ABD-9C17-B04DA6446913}"/>
            </a:ext>
          </a:extLst>
        </xdr:cNvPr>
        <xdr:cNvSpPr/>
      </xdr:nvSpPr>
      <xdr:spPr>
        <a:xfrm rot="16200000">
          <a:off x="5482590" y="64770"/>
          <a:ext cx="95250" cy="4088130"/>
        </a:xfrm>
        <a:prstGeom prst="down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H" sz="1100"/>
        </a:p>
      </xdr:txBody>
    </xdr:sp>
    <xdr:clientData/>
  </xdr:twoCellAnchor>
  <xdr:twoCellAnchor>
    <xdr:from>
      <xdr:col>9</xdr:col>
      <xdr:colOff>118110</xdr:colOff>
      <xdr:row>21</xdr:row>
      <xdr:rowOff>57150</xdr:rowOff>
    </xdr:from>
    <xdr:to>
      <xdr:col>9</xdr:col>
      <xdr:colOff>586740</xdr:colOff>
      <xdr:row>21</xdr:row>
      <xdr:rowOff>152400</xdr:rowOff>
    </xdr:to>
    <xdr:sp macro="" textlink="">
      <xdr:nvSpPr>
        <xdr:cNvPr id="4" name="Arrow: Down 3">
          <a:extLst>
            <a:ext uri="{FF2B5EF4-FFF2-40B4-BE49-F238E27FC236}">
              <a16:creationId xmlns:a16="http://schemas.microsoft.com/office/drawing/2014/main" id="{0CB788CA-D648-4796-887E-284F797AFEA6}"/>
            </a:ext>
          </a:extLst>
        </xdr:cNvPr>
        <xdr:cNvSpPr/>
      </xdr:nvSpPr>
      <xdr:spPr>
        <a:xfrm rot="16200000">
          <a:off x="7421880" y="3794760"/>
          <a:ext cx="95250" cy="468630"/>
        </a:xfrm>
        <a:prstGeom prst="down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H"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msi-ph.dlspi.com.ph\WDrive\Documents%20and%20Settings\VTC\Start%20Menu\Programs\VTC%20080208\vtc%20references\AVIDAH%20WATER\My%20Documents\Hacienda%20Sta.%20Monica\Schedule\Project%20Schedule.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VIRGIE\D\GeneralCOST%20Estimator\GeneralCost.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C:\Users\alexandra.tolentino\Downloads\LTE%20-%20Flex%20Table_v4.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arcadiso365-my.sharepoint.com/12%20Project%20Documents/ALSP16003%20Kaliwa%20Water%20Supply%20System/F.%20PROJECT%20DELIVERY/4.%20Calculations/3.%20Estimate/20180314%20Estimate%20CAPEX%20and%20OPEX/20161209_BoQ_Ball%20Park%20Estimate%20rev2.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A:\DETAIL~1.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msi-ph.dlspi.com.ph\WDrive\Documents%20and%20Settings\PNR\Local%20Settings\Temporary%20Internet%20Files\Content.IE5\CFGRKLYF\final%20lump%20sum%20breakdown\financial%20proposal\data%20from%20cmkim\PART%201b.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Clifford\projects\Clifford%20Azcueta\Bank\UPAnalysis\DPA%20ptcc.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msi-ph.dlspi.com.ph\WDrive\Documents%20and%20Settings\PNR\Local%20Settings\Temporary%20Internet%20Files\Content.IE5\CFGRKLYF\final%20lump%20sum%20breakdown\financial%20proposal\data%20from%20cmkim\PART%206b.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msi-ph.dlspi.com.ph\WDrive\Documents%20and%20Settings\PNR\Local%20Settings\Temporary%20Internet%20Files\Content.IE5\CFGRKLYF\final%20lump%20sum%20breakdown\financial%20proposal\data%20from%20cmkim\PART%20A,B.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G:\PNR%20projects\PNR\PNR%20Final%20Copy\COST%20-%20CIVIL,%20STRUCTURAL\UPA_Miscellaneous%20Bridge.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Luz\e\PROJECTS\MORMONS%20-%20JCLDS\CALAPAN\COST\COST%20ESTIMATES-%20CALAPAN%20OLD&amp;NEW%20scheme%20I.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ched Spine"/>
      <sheetName val="Sched Res.Lots"/>
      <sheetName val="Sched Hac.Lots"/>
      <sheetName val="Sched Farmlot"/>
      <sheetName val="4-Lane bridge sched rev"/>
      <sheetName val="Land Dev't. Ph-1"/>
    </sheetNames>
    <sheetDataSet>
      <sheetData sheetId="0"/>
      <sheetData sheetId="1"/>
      <sheetData sheetId="2"/>
      <sheetData sheetId="3"/>
      <sheetData sheetId="4"/>
      <sheetData sheetId="5" refreshError="1">
        <row r="15">
          <cell r="D15">
            <v>4.2163879608276391E-3</v>
          </cell>
        </row>
        <row r="27">
          <cell r="D27">
            <v>2.7218227722735273E-3</v>
          </cell>
        </row>
        <row r="32">
          <cell r="D32">
            <v>3.8146292960527187E-3</v>
          </cell>
        </row>
        <row r="35">
          <cell r="D35">
            <v>6.7409797757496054E-3</v>
          </cell>
        </row>
        <row r="38">
          <cell r="D38">
            <v>7.2008582384411102E-2</v>
          </cell>
        </row>
        <row r="41">
          <cell r="D41">
            <v>2.2499690226405394E-2</v>
          </cell>
        </row>
        <row r="44">
          <cell r="D44">
            <v>1.399757027801567E-3</v>
          </cell>
        </row>
        <row r="47">
          <cell r="D47">
            <v>6.3195692004606703E-3</v>
          </cell>
        </row>
        <row r="50">
          <cell r="D50">
            <v>6.6544088831141874E-3</v>
          </cell>
        </row>
        <row r="73">
          <cell r="D73">
            <v>4.3232465355264142E-3</v>
          </cell>
        </row>
        <row r="84">
          <cell r="D84">
            <v>2.712106434627819E-2</v>
          </cell>
        </row>
        <row r="96">
          <cell r="D96">
            <v>2.6195385738722681E-3</v>
          </cell>
        </row>
        <row r="107">
          <cell r="D107">
            <v>6.9521826288047817E-2</v>
          </cell>
        </row>
        <row r="119">
          <cell r="D119">
            <v>3.7722445260965774E-3</v>
          </cell>
        </row>
      </sheetData>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stimate"/>
      <sheetName val="JobInfo"/>
      <sheetName val="QuickHelp"/>
      <sheetName val="City"/>
      <sheetName val="Rates"/>
      <sheetName val="General"/>
      <sheetName val="Sitework"/>
      <sheetName val="Concrete"/>
      <sheetName val="Masonry"/>
      <sheetName val="Metals"/>
      <sheetName val="WoodPlastics"/>
      <sheetName val="ThermalMoisture"/>
      <sheetName val="DoorsWindows"/>
      <sheetName val="Finishes"/>
      <sheetName val="Specialties"/>
      <sheetName val="Equipment"/>
      <sheetName val="Furnishings"/>
      <sheetName val="SpecialCons"/>
      <sheetName val="Conveying"/>
      <sheetName val="Mechanical"/>
      <sheetName val="Electrical"/>
      <sheetName val="Quote"/>
    </sheetNames>
    <sheetDataSet>
      <sheetData sheetId="0" refreshError="1"/>
      <sheetData sheetId="1" refreshError="1"/>
      <sheetData sheetId="2" refreshError="1"/>
      <sheetData sheetId="3" refreshError="1"/>
      <sheetData sheetId="4" refreshError="1">
        <row r="6">
          <cell r="B6">
            <v>25</v>
          </cell>
        </row>
        <row r="9">
          <cell r="B9">
            <v>35</v>
          </cell>
        </row>
        <row r="10">
          <cell r="B10">
            <v>42.5</v>
          </cell>
        </row>
        <row r="11">
          <cell r="B11">
            <v>47.5</v>
          </cell>
        </row>
        <row r="13">
          <cell r="B13">
            <v>65</v>
          </cell>
        </row>
      </sheetData>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cenario Result"/>
      <sheetName val="Pump"/>
      <sheetName val="Pipe Length"/>
      <sheetName val="Opt 1-pipe"/>
      <sheetName val="Opt 1-junc"/>
      <sheetName val="Opt 2-pipe"/>
      <sheetName val="Opt 2-junc"/>
      <sheetName val="Opt 3-pipe"/>
      <sheetName val="Opt 3-junc"/>
      <sheetName val="Opt 4-pipe"/>
      <sheetName val="Opt 4-junc"/>
      <sheetName val="Opt A-pipe"/>
      <sheetName val="Opt A-junc"/>
      <sheetName val="Opt B-pipe"/>
      <sheetName val="Opt B-junc"/>
    </sheetNames>
    <sheetDataSet>
      <sheetData sheetId="0" refreshError="1"/>
      <sheetData sheetId="1" refreshError="1"/>
      <sheetData sheetId="2" refreshError="1"/>
      <sheetData sheetId="3">
        <row r="21">
          <cell r="AB21">
            <v>5760.5825000000004</v>
          </cell>
        </row>
        <row r="22">
          <cell r="AB22">
            <v>5913.7100000000009</v>
          </cell>
        </row>
        <row r="23">
          <cell r="AB23">
            <v>1213.3199999999997</v>
          </cell>
        </row>
        <row r="24">
          <cell r="AB24">
            <v>2818.31</v>
          </cell>
        </row>
      </sheetData>
      <sheetData sheetId="4" refreshError="1"/>
      <sheetData sheetId="5">
        <row r="15">
          <cell r="AB15">
            <v>7200.06</v>
          </cell>
        </row>
        <row r="16">
          <cell r="AB16">
            <v>4356.72</v>
          </cell>
        </row>
        <row r="17">
          <cell r="AB17">
            <v>3347.4802999999997</v>
          </cell>
        </row>
        <row r="18">
          <cell r="AB18">
            <v>5416.1344000000008</v>
          </cell>
        </row>
      </sheetData>
      <sheetData sheetId="6" refreshError="1"/>
      <sheetData sheetId="7">
        <row r="15">
          <cell r="AB15">
            <v>2897.7600000000011</v>
          </cell>
        </row>
        <row r="16">
          <cell r="AB16">
            <v>2480.6900000000005</v>
          </cell>
        </row>
        <row r="17">
          <cell r="AB17">
            <v>3210.8500000000004</v>
          </cell>
        </row>
        <row r="18">
          <cell r="AB18">
            <v>789.79</v>
          </cell>
        </row>
        <row r="19">
          <cell r="AB19">
            <v>4958.2225000000017</v>
          </cell>
        </row>
        <row r="20">
          <cell r="AB20">
            <v>5368.2644000000009</v>
          </cell>
        </row>
      </sheetData>
      <sheetData sheetId="8" refreshError="1"/>
      <sheetData sheetId="9">
        <row r="15">
          <cell r="AB15">
            <v>2898.0300000000011</v>
          </cell>
        </row>
        <row r="16">
          <cell r="AB16">
            <v>4064.6300000000006</v>
          </cell>
        </row>
        <row r="17">
          <cell r="AB17">
            <v>10171.584500000003</v>
          </cell>
        </row>
        <row r="18">
          <cell r="AB18">
            <v>1092.28</v>
          </cell>
        </row>
        <row r="19">
          <cell r="AB19">
            <v>1824.1699999999998</v>
          </cell>
        </row>
      </sheetData>
      <sheetData sheetId="10" refreshError="1"/>
      <sheetData sheetId="11">
        <row r="23">
          <cell r="AB23">
            <v>7600.97</v>
          </cell>
        </row>
        <row r="24">
          <cell r="AB24">
            <v>1047.28</v>
          </cell>
        </row>
        <row r="25">
          <cell r="AB25">
            <v>1028.3399999999999</v>
          </cell>
        </row>
      </sheetData>
      <sheetData sheetId="12" refreshError="1"/>
      <sheetData sheetId="13">
        <row r="24">
          <cell r="AB24">
            <v>4104.2300000000005</v>
          </cell>
        </row>
        <row r="25">
          <cell r="AB25">
            <v>2999.1</v>
          </cell>
        </row>
        <row r="26">
          <cell r="AB26">
            <v>1047.28</v>
          </cell>
        </row>
        <row r="27">
          <cell r="AB27">
            <v>1028.3399999999999</v>
          </cell>
        </row>
      </sheetData>
      <sheetData sheetId="14"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and Dev't. Ph-1"/>
      <sheetName val="4-Lane bridge"/>
      <sheetName val="Spine Road"/>
      <sheetName val="Res.Lots"/>
      <sheetName val="Hac.Lots"/>
      <sheetName val="Farmlots"/>
      <sheetName val="Summary"/>
      <sheetName val="Scenario 1"/>
      <sheetName val="Scenario 2"/>
      <sheetName val="Scenario 3"/>
      <sheetName val="Scenario 3 "/>
      <sheetName val="Scenario 4"/>
      <sheetName val="Scenario 4  "/>
      <sheetName val="Reference"/>
      <sheetName val="Assumption"/>
    </sheetNames>
    <sheetDataSet>
      <sheetData sheetId="0" refreshError="1">
        <row r="9">
          <cell r="D9">
            <v>1.4123344017741934E-2</v>
          </cell>
        </row>
        <row r="12">
          <cell r="D12">
            <v>9.9405017921146959E-3</v>
          </cell>
        </row>
        <row r="15">
          <cell r="D15">
            <v>9.8825448028673837E-2</v>
          </cell>
        </row>
        <row r="18">
          <cell r="D18">
            <v>1.931899641577061E-2</v>
          </cell>
        </row>
        <row r="21">
          <cell r="D21">
            <v>4.408243727598566E-2</v>
          </cell>
        </row>
        <row r="25">
          <cell r="D25">
            <v>6.1783154121863798E-3</v>
          </cell>
        </row>
        <row r="28">
          <cell r="D28">
            <v>1.775089605734767E-2</v>
          </cell>
        </row>
        <row r="31">
          <cell r="D31">
            <v>3.1017025089605736E-2</v>
          </cell>
        </row>
        <row r="34">
          <cell r="D34">
            <v>0.14545698924731182</v>
          </cell>
        </row>
        <row r="37">
          <cell r="D37">
            <v>3.4498207885304659E-2</v>
          </cell>
        </row>
        <row r="40">
          <cell r="D40">
            <v>7.8718637992831547E-2</v>
          </cell>
        </row>
        <row r="44">
          <cell r="D44">
            <v>4.2365591397849466E-3</v>
          </cell>
        </row>
        <row r="47">
          <cell r="D47">
            <v>1.2172043010752687E-2</v>
          </cell>
        </row>
        <row r="50">
          <cell r="D50">
            <v>0.12101075268817205</v>
          </cell>
        </row>
        <row r="53">
          <cell r="D53">
            <v>2.3655913978494623E-2</v>
          </cell>
        </row>
        <row r="56">
          <cell r="D56">
            <v>5.3978494623655913E-2</v>
          </cell>
        </row>
        <row r="60">
          <cell r="D60">
            <v>5.8252688172043005E-3</v>
          </cell>
        </row>
        <row r="63">
          <cell r="D63">
            <v>1.6736559139784946E-2</v>
          </cell>
        </row>
        <row r="66">
          <cell r="D66">
            <v>0.16638978494623655</v>
          </cell>
        </row>
        <row r="69">
          <cell r="D69">
            <v>3.2526881720430105E-2</v>
          </cell>
        </row>
        <row r="72">
          <cell r="D72">
            <v>7.422043010752688E-2</v>
          </cell>
        </row>
      </sheetData>
      <sheetData sheetId="1" refreshError="1">
        <row r="10">
          <cell r="D10">
            <v>4.3035038229172061E-2</v>
          </cell>
        </row>
        <row r="13">
          <cell r="D13">
            <v>5.2457605927369012E-2</v>
          </cell>
        </row>
        <row r="18">
          <cell r="D18">
            <v>5.0084525248995128E-3</v>
          </cell>
        </row>
        <row r="21">
          <cell r="D21">
            <v>9.6071224598388294E-2</v>
          </cell>
        </row>
        <row r="24">
          <cell r="D24">
            <v>0.31561345927967044</v>
          </cell>
        </row>
        <row r="27">
          <cell r="D27">
            <v>0.12318837855606715</v>
          </cell>
        </row>
        <row r="30">
          <cell r="D30">
            <v>0.13397048657773761</v>
          </cell>
        </row>
        <row r="33">
          <cell r="D33">
            <v>0.18460509959569341</v>
          </cell>
        </row>
        <row r="36">
          <cell r="D36">
            <v>6.9720022161427623E-3</v>
          </cell>
        </row>
        <row r="39">
          <cell r="D39">
            <v>3.9078252494859848E-2</v>
          </cell>
        </row>
      </sheetData>
      <sheetData sheetId="2" refreshError="1">
        <row r="13">
          <cell r="D13">
            <v>5.5465191400665165E-2</v>
          </cell>
        </row>
        <row r="19">
          <cell r="D19">
            <v>0.55141807650326347</v>
          </cell>
        </row>
        <row r="22">
          <cell r="D22">
            <v>0.10779454139447704</v>
          </cell>
        </row>
        <row r="28">
          <cell r="D28">
            <v>7.8653597317584947E-3</v>
          </cell>
        </row>
        <row r="31">
          <cell r="C31">
            <v>32658137.550000001</v>
          </cell>
        </row>
      </sheetData>
      <sheetData sheetId="3" refreshError="1">
        <row r="10">
          <cell r="D10">
            <v>1.9699999979939965E-2</v>
          </cell>
        </row>
        <row r="13">
          <cell r="D13">
            <v>5.6599999883359529E-2</v>
          </cell>
        </row>
        <row r="16">
          <cell r="D16">
            <v>9.8899999975157443E-2</v>
          </cell>
        </row>
        <row r="19">
          <cell r="D19">
            <v>0.46379999997954141</v>
          </cell>
        </row>
        <row r="22">
          <cell r="D22">
            <v>0.11000000015941749</v>
          </cell>
        </row>
        <row r="25">
          <cell r="D25">
            <v>0.25100000002258416</v>
          </cell>
        </row>
      </sheetData>
      <sheetData sheetId="4" refreshError="1">
        <row r="10">
          <cell r="D10">
            <v>1.9699999838819093E-2</v>
          </cell>
        </row>
        <row r="13">
          <cell r="D13">
            <v>5.6599999839434291E-2</v>
          </cell>
        </row>
        <row r="16">
          <cell r="D16">
            <v>0.56270000005106113</v>
          </cell>
        </row>
        <row r="19">
          <cell r="D19">
            <v>0.11000000001537986</v>
          </cell>
        </row>
        <row r="22">
          <cell r="D22">
            <v>0.25100000025530561</v>
          </cell>
        </row>
        <row r="25">
          <cell r="D25">
            <v>1</v>
          </cell>
        </row>
      </sheetData>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XXXXXX"/>
      <sheetName val="unsuitable exc."/>
      <sheetName val="base course orig."/>
      <sheetName val="Portland orig."/>
      <sheetName val="strl.conc.A orig"/>
      <sheetName val="surplus"/>
      <sheetName val="Sodding)"/>
      <sheetName val="s.backfill"/>
      <sheetName val="clearing"/>
      <sheetName val="rebars"/>
      <sheetName val="strl.conc.A"/>
      <sheetName val="u-ditch2"/>
      <sheetName val="s-excavation"/>
      <sheetName val="geotextile"/>
      <sheetName val="Existing PC Pavement"/>
      <sheetName val="Roadway Excavation"/>
      <sheetName val="Subgrade"/>
      <sheetName val="Crushed Gravel"/>
      <sheetName val="Portland"/>
      <sheetName val="Embankment"/>
      <sheetName val="Selected Borrow"/>
      <sheetName val="Laying"/>
      <sheetName val="base course"/>
      <sheetName val="Polythelene"/>
      <sheetName val="U-DITCH"/>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row r="1">
          <cell r="X1">
            <v>1</v>
          </cell>
        </row>
      </sheetData>
      <sheetData sheetId="15" refreshError="1"/>
      <sheetData sheetId="16" refreshError="1">
        <row r="12">
          <cell r="X12">
            <v>2.5000000000000001E-2</v>
          </cell>
        </row>
      </sheetData>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arkup"/>
      <sheetName val="direct cost summary"/>
      <sheetName val="1"/>
      <sheetName val="2"/>
      <sheetName val="3"/>
      <sheetName val="4"/>
      <sheetName val="5"/>
      <sheetName val="6"/>
      <sheetName val="7"/>
      <sheetName val="8"/>
      <sheetName val="9"/>
      <sheetName val="10"/>
      <sheetName val="11"/>
      <sheetName val="12"/>
      <sheetName val="13"/>
      <sheetName val="13b"/>
      <sheetName val="14"/>
      <sheetName val="14b"/>
      <sheetName val="15"/>
      <sheetName val="15b"/>
      <sheetName val="16"/>
      <sheetName val="16b"/>
      <sheetName val="17"/>
    </sheetNames>
    <sheetDataSet>
      <sheetData sheetId="0" refreshError="1">
        <row r="5">
          <cell r="C5">
            <v>1.02</v>
          </cell>
        </row>
        <row r="6">
          <cell r="C6">
            <v>1.93</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PA"/>
      <sheetName val="LIBRARY"/>
      <sheetName val="Rate"/>
    </sheetNames>
    <sheetDataSet>
      <sheetData sheetId="0" refreshError="1"/>
      <sheetData sheetId="1" refreshError="1"/>
      <sheetData sheetId="2"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arkup"/>
      <sheetName val="direct cost summary"/>
      <sheetName val="1"/>
      <sheetName val="2"/>
      <sheetName val="3"/>
      <sheetName val="4"/>
      <sheetName val="5"/>
      <sheetName val="6"/>
      <sheetName val="7"/>
      <sheetName val="8"/>
      <sheetName val="9"/>
      <sheetName val="10"/>
      <sheetName val="11"/>
      <sheetName val="12"/>
      <sheetName val="13"/>
      <sheetName val="14"/>
      <sheetName val="15"/>
      <sheetName val="16"/>
      <sheetName val="17"/>
      <sheetName val="18"/>
      <sheetName val="19"/>
      <sheetName val="20"/>
      <sheetName val="21"/>
      <sheetName val="22"/>
      <sheetName val="23"/>
      <sheetName val="24"/>
      <sheetName val="25"/>
      <sheetName val="1b"/>
      <sheetName val="2b"/>
      <sheetName val="3b"/>
      <sheetName val="4b"/>
      <sheetName val="5b"/>
      <sheetName val="6b"/>
      <sheetName val="7b"/>
      <sheetName val="8b"/>
      <sheetName val="9b"/>
      <sheetName val="10b"/>
      <sheetName val="11b"/>
      <sheetName val="12b"/>
      <sheetName val="13b"/>
      <sheetName val="14b"/>
      <sheetName val="15b"/>
      <sheetName val="16b"/>
      <sheetName val="17b"/>
      <sheetName val="18b"/>
      <sheetName val="19b"/>
      <sheetName val="20b"/>
      <sheetName val="21b"/>
      <sheetName val="22b"/>
      <sheetName val="23b"/>
      <sheetName val="24b"/>
      <sheetName val="25b"/>
    </sheetNames>
    <sheetDataSet>
      <sheetData sheetId="0" refreshError="1">
        <row r="7">
          <cell r="C7">
            <v>1</v>
          </cell>
        </row>
        <row r="9">
          <cell r="C9">
            <v>0.1203</v>
          </cell>
        </row>
      </sheetData>
      <sheetData sheetId="1" refreshError="1"/>
      <sheetData sheetId="2" refreshError="1">
        <row r="13">
          <cell r="V13">
            <v>49</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arkup"/>
      <sheetName val="direct cost summary"/>
      <sheetName val="1"/>
      <sheetName val="2"/>
      <sheetName val="3"/>
      <sheetName val="4"/>
      <sheetName val="5"/>
      <sheetName val="6"/>
      <sheetName val="7"/>
      <sheetName val="8"/>
      <sheetName val="9"/>
      <sheetName val="10"/>
      <sheetName val="11"/>
      <sheetName val="12"/>
      <sheetName val="1b"/>
      <sheetName val="1b backup (1 of 5)"/>
      <sheetName val="1b backup (2 of 5)"/>
      <sheetName val="1b backup (3 of 5)"/>
      <sheetName val="1b backup (4 of 5)"/>
      <sheetName val="1b backup (5 of 5)"/>
    </sheetNames>
    <sheetDataSet>
      <sheetData sheetId="0" refreshError="1">
        <row r="9">
          <cell r="C9">
            <v>0.13880000000000001</v>
          </cell>
        </row>
        <row r="10">
          <cell r="C10">
            <v>0.1</v>
          </cell>
        </row>
        <row r="11">
          <cell r="C11">
            <v>0.12</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UPASum"/>
      <sheetName val="UPA Sum final"/>
      <sheetName val="structural steel Alabang"/>
      <sheetName val="transport stl Alabang"/>
      <sheetName val="removal H piles"/>
      <sheetName val="removal pile caps"/>
      <sheetName val="conc sub  misc bridges"/>
      <sheetName val="conc supe r miscaneous bridges"/>
      <sheetName val="rebars grade 40 misc bridges"/>
      <sheetName val="removal stl misc bridges"/>
      <sheetName val="75mm dia. PVC Pipe"/>
      <sheetName val="non shrink mortar"/>
      <sheetName val="bearing pads"/>
      <sheetName val="lean concrete"/>
      <sheetName val="gravel base"/>
      <sheetName val="PC piles 500 Driven"/>
      <sheetName val="Precast piles furn"/>
      <sheetName val="4.3.1.1 strucexc"/>
      <sheetName val="common exc"/>
      <sheetName val="conc dem"/>
      <sheetName val="sheet Pile ABR"/>
      <sheetName val="conc4000rmc(substructre alabang"/>
      <sheetName val="conc400psi (super alabng)"/>
      <sheetName val="conc400psi miscbrges (subs-buli"/>
      <sheetName val="PV girder"/>
      <sheetName val="conc4000rmc(superstructure)"/>
      <sheetName val="25mm dia. hole drilling"/>
      <sheetName val="removal of tracks &amp; bridge timb"/>
      <sheetName val="fabricated stl bearing"/>
      <sheetName val="aNCHOR BOLT"/>
      <sheetName val="reinforced pile caps"/>
      <sheetName val="rebars40 (alabang bridge)"/>
      <sheetName val="4.4.1.1.1 Excv Bwl"/>
      <sheetName val="structural backfil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UMMARY"/>
      <sheetName val="Gen. Requirements"/>
      <sheetName val="Building (OLD)"/>
      <sheetName val="Building (NEW)"/>
      <sheetName val="Site Development"/>
      <sheetName val="OTHERS"/>
      <sheetName val="pumphouse"/>
      <sheetName val="furnishings CALAPAN"/>
    </sheetNames>
    <sheetDataSet>
      <sheetData sheetId="0" refreshError="1">
        <row r="9">
          <cell r="O9">
            <v>0.2</v>
          </cell>
        </row>
      </sheetData>
      <sheetData sheetId="1"/>
      <sheetData sheetId="2"/>
      <sheetData sheetId="3"/>
      <sheetData sheetId="4"/>
      <sheetData sheetId="5"/>
      <sheetData sheetId="6"/>
      <sheetData sheetId="7"/>
    </sheetDataSet>
  </externalBook>
</externalLink>
</file>

<file path=xl/persons/person.xml><?xml version="1.0" encoding="utf-8"?>
<personList xmlns="http://schemas.microsoft.com/office/spreadsheetml/2018/threadedcomments" xmlns:x="http://schemas.openxmlformats.org/spreadsheetml/2006/main">
  <person displayName="Tolentino, Alexandra" id="{991994CC-0057-46F4-9941-3BD60CDF85E1}" userId="S::alexandra.tolentino@arcadisasia.com::2bd7b358-3670-4475-b254-35474fa81fce"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AK5" dT="2022-03-17T05:43:38.95" personId="{991994CC-0057-46F4-9941-3BD60CDF85E1}" id="{35A961EE-D2AB-425E-91EF-9B469D6710B9}">
    <text>hydrau risks -&gt; high-stage pump head, exceeds the design criteria esp for pressure.</text>
  </threadedComment>
  <threadedComment ref="AK6" dT="2021-08-09T08:31:35.80" personId="{991994CC-0057-46F4-9941-3BD60CDF85E1}" id="{63269A4F-4D7B-4100-8373-1866031D7715}">
    <text>1. Earthquake
2. Liquefaction
3. Landslide
4. Volcanic Eruption
5. Tsunami</text>
  </threadedComment>
  <threadedComment ref="AK16" dT="2022-03-29T13:12:29.26" personId="{991994CC-0057-46F4-9941-3BD60CDF85E1}" id="{6817E9FE-B4B1-4749-BEEB-CCF12C7B52F7}">
    <text>for fs stage.</text>
  </threadedComment>
  <threadedComment ref="AK26" dT="2022-03-17T05:43:38.95" personId="{991994CC-0057-46F4-9941-3BD60CDF85E1}" id="{403134A5-99C4-4F0A-AE9D-86D581D03A67}">
    <text>hydrau risks -&gt; high-stage pump head, exceeds the design criteria esp for pressure.</text>
  </threadedComment>
  <threadedComment ref="AK27" dT="2021-08-09T08:31:35.80" personId="{991994CC-0057-46F4-9941-3BD60CDF85E1}" id="{FE716EBA-057E-48D7-A742-B4DD57EDAB20}">
    <text>1. Earthquake
2. Liquefaction
3. Landslide
4. Volcanic Eruption
5. Tsunami</text>
  </threadedComment>
  <threadedComment ref="AK37" dT="2022-03-29T13:12:29.26" personId="{991994CC-0057-46F4-9941-3BD60CDF85E1}" id="{BE04204D-B8F8-4E42-B9ED-72385C8ABD99}">
    <text>for fs stage.</text>
  </threadedComment>
</ThreadedComments>
</file>

<file path=xl/threadedComments/threadedComment2.xml><?xml version="1.0" encoding="utf-8"?>
<ThreadedComments xmlns="http://schemas.microsoft.com/office/spreadsheetml/2018/threadedcomments" xmlns:x="http://schemas.openxmlformats.org/spreadsheetml/2006/main">
  <threadedComment ref="AK5" dT="2022-03-17T05:43:38.95" personId="{991994CC-0057-46F4-9941-3BD60CDF85E1}" id="{A4A709E6-0550-4FD5-AB29-ACFDC837A234}">
    <text>hydrau risks -&gt; high-stage pump head, exceeds the design criteria esp for pressure.</text>
  </threadedComment>
  <threadedComment ref="AK6" dT="2021-08-09T08:31:35.80" personId="{991994CC-0057-46F4-9941-3BD60CDF85E1}" id="{983FB185-40AA-4DD6-ABC8-F3F9D7566781}">
    <text>1. Earthquake
2. Liquefaction
3. Landslide
4. Volcanic Eruption
5. Tsunami</text>
  </threadedComment>
  <threadedComment ref="AK16" dT="2022-03-29T13:12:29.26" personId="{991994CC-0057-46F4-9941-3BD60CDF85E1}" id="{4BEDA47E-9F80-40AE-AD06-0668363855D1}">
    <text>for fs stage.</text>
  </threadedComment>
</ThreadedComments>
</file>

<file path=xl/threadedComments/threadedComment3.xml><?xml version="1.0" encoding="utf-8"?>
<ThreadedComments xmlns="http://schemas.microsoft.com/office/spreadsheetml/2018/threadedcomments" xmlns:x="http://schemas.openxmlformats.org/spreadsheetml/2006/main">
  <threadedComment ref="AK6" dT="2021-08-09T08:31:35.80" personId="{991994CC-0057-46F4-9941-3BD60CDF85E1}" id="{141E6F04-3439-465E-BC07-3BCFEB5B7955}">
    <text>1. Earthquake
2. Liquefaction
3. Landslide
4. Volcanic Eruption
5. Tsunami</text>
  </threadedComment>
</ThreadedComments>
</file>

<file path=xl/threadedComments/threadedComment4.xml><?xml version="1.0" encoding="utf-8"?>
<ThreadedComments xmlns="http://schemas.microsoft.com/office/spreadsheetml/2018/threadedcomments" xmlns:x="http://schemas.openxmlformats.org/spreadsheetml/2006/main">
  <threadedComment ref="AG21" dT="2021-08-09T08:31:35.80" personId="{991994CC-0057-46F4-9941-3BD60CDF85E1}" id="{FBE3F925-9722-43CC-9A72-47B0C1217919}">
    <text>1. Earthquake
2. Liquefaction
3. Landslide
4. Volcanic Eruption
5. Tsunami</text>
  </threadedComment>
</ThreadedComments>
</file>

<file path=xl/threadedComments/threadedComment5.xml><?xml version="1.0" encoding="utf-8"?>
<ThreadedComments xmlns="http://schemas.microsoft.com/office/spreadsheetml/2018/threadedcomments" xmlns:x="http://schemas.openxmlformats.org/spreadsheetml/2006/main">
  <threadedComment ref="AM21" dT="2021-08-09T08:31:35.80" personId="{991994CC-0057-46F4-9941-3BD60CDF85E1}" id="{B3554FBC-F293-417A-9ACA-17B386B28284}">
    <text>1. Earthquake
2. Liquefaction
3. Landslide
4. Volcanic Eruption
5. Tsunami</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 Id="rId4" Type="http://schemas.microsoft.com/office/2017/10/relationships/threadedComment" Target="../threadedComments/threadedComment2.xml"/></Relationships>
</file>

<file path=xl/worksheets/_rels/sheet3.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3.bin"/><Relationship Id="rId4" Type="http://schemas.microsoft.com/office/2017/10/relationships/threadedComment" Target="../threadedComments/threadedComment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printerSettings" Target="../printerSettings/printerSettings4.bin"/><Relationship Id="rId4" Type="http://schemas.microsoft.com/office/2017/10/relationships/threadedComment" Target="../threadedComments/threadedComment4.xml"/></Relationships>
</file>

<file path=xl/worksheets/_rels/sheet5.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printerSettings" Target="../printerSettings/printerSettings5.bin"/><Relationship Id="rId4" Type="http://schemas.microsoft.com/office/2017/10/relationships/threadedComment" Target="../threadedComments/threadedComment5.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6.bin"/><Relationship Id="rId1" Type="http://schemas.openxmlformats.org/officeDocument/2006/relationships/hyperlink" Target="https://www.google.com/maps/@14.5723238,121.1006636,12.48z/data=!4m2!6m1!1s1hFVBw9aFQcNCbI5Mv6ntxUdXNpeyBnHB!5m1!1e1"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E63063-DC2C-4FEF-91D1-7F03C02FDAD2}">
  <sheetPr>
    <tabColor rgb="FFFFC000"/>
    <pageSetUpPr fitToPage="1"/>
  </sheetPr>
  <dimension ref="A1:AO52"/>
  <sheetViews>
    <sheetView tabSelected="1" topLeftCell="A34" zoomScale="70" zoomScaleNormal="70" workbookViewId="0">
      <selection activeCell="E30" sqref="E30"/>
    </sheetView>
  </sheetViews>
  <sheetFormatPr defaultColWidth="9.109375" defaultRowHeight="13.8" x14ac:dyDescent="0.25"/>
  <cols>
    <col min="1" max="1" width="2.33203125" style="8" customWidth="1"/>
    <col min="2" max="2" width="16.109375" style="8" customWidth="1"/>
    <col min="3" max="3" width="12.33203125" style="8" customWidth="1"/>
    <col min="4" max="4" width="11" style="8" customWidth="1"/>
    <col min="5" max="5" width="60.6640625" style="8" customWidth="1"/>
    <col min="6" max="6" width="9" style="8" customWidth="1"/>
    <col min="7" max="7" width="60.6640625" style="8" customWidth="1"/>
    <col min="8" max="8" width="9.44140625" style="8" hidden="1" customWidth="1"/>
    <col min="9" max="9" width="60.6640625" style="8" hidden="1" customWidth="1"/>
    <col min="10" max="10" width="10.77734375" style="8" hidden="1" customWidth="1"/>
    <col min="11" max="11" width="60.6640625" style="8" hidden="1" customWidth="1"/>
    <col min="12" max="12" width="9.109375" style="33" hidden="1" customWidth="1"/>
    <col min="13" max="13" width="14.6640625" style="8" customWidth="1"/>
    <col min="14" max="14" width="12.6640625" style="8" customWidth="1"/>
    <col min="15" max="15" width="11.21875" style="8" customWidth="1"/>
    <col min="16" max="16" width="11.88671875" style="8" customWidth="1"/>
    <col min="17" max="17" width="13.44140625" style="8" hidden="1" customWidth="1"/>
    <col min="18" max="18" width="12.88671875" style="8" hidden="1" customWidth="1"/>
    <col min="19" max="19" width="9.109375" style="33" hidden="1" customWidth="1"/>
    <col min="20" max="32" width="19.6640625" style="8" hidden="1" customWidth="1"/>
    <col min="33" max="35" width="0" style="8" hidden="1" customWidth="1"/>
    <col min="36" max="36" width="11.77734375" style="8" customWidth="1"/>
    <col min="37" max="41" width="35.77734375" style="8" customWidth="1"/>
    <col min="42" max="16384" width="9.109375" style="8"/>
  </cols>
  <sheetData>
    <row r="1" spans="1:41" ht="14.25" customHeight="1" x14ac:dyDescent="0.25">
      <c r="A1" s="7"/>
      <c r="B1" s="7"/>
      <c r="C1" s="7"/>
      <c r="D1" s="7"/>
      <c r="E1" s="7"/>
      <c r="F1" s="7"/>
      <c r="H1" s="7"/>
      <c r="I1" s="7"/>
      <c r="J1" s="7"/>
      <c r="K1" s="7"/>
      <c r="L1" s="32"/>
      <c r="M1" s="7"/>
      <c r="N1" s="7"/>
      <c r="O1" s="7"/>
      <c r="P1" s="7"/>
      <c r="Q1" s="7"/>
      <c r="R1" s="7"/>
      <c r="S1" s="32"/>
      <c r="T1" s="7"/>
      <c r="U1" s="7"/>
      <c r="V1" s="7"/>
      <c r="W1" s="7"/>
      <c r="X1" s="7"/>
      <c r="Y1" s="7"/>
      <c r="Z1" s="7"/>
      <c r="AA1" s="7"/>
      <c r="AB1" s="7"/>
      <c r="AC1" s="7"/>
      <c r="AD1" s="7"/>
      <c r="AE1" s="7"/>
    </row>
    <row r="2" spans="1:41" ht="16.2" thickBot="1" x14ac:dyDescent="0.35">
      <c r="A2" s="7"/>
      <c r="B2" s="15" t="s">
        <v>0</v>
      </c>
      <c r="C2" s="7"/>
      <c r="D2" s="7"/>
      <c r="E2" s="7"/>
      <c r="F2" s="7"/>
      <c r="G2" s="7"/>
      <c r="H2" s="7"/>
      <c r="I2" s="7"/>
      <c r="J2" s="7"/>
      <c r="K2" s="7"/>
      <c r="L2" s="32"/>
      <c r="M2" s="15" t="s">
        <v>1</v>
      </c>
      <c r="N2" s="7"/>
      <c r="O2" s="7"/>
      <c r="P2" s="7"/>
      <c r="Q2" s="7"/>
      <c r="R2" s="7"/>
      <c r="S2" s="32"/>
      <c r="T2" s="15" t="s">
        <v>2</v>
      </c>
      <c r="U2" s="7"/>
      <c r="V2" s="7"/>
      <c r="W2" s="7"/>
      <c r="X2" s="7"/>
      <c r="Y2" s="7"/>
      <c r="Z2" s="7"/>
      <c r="AA2" s="7"/>
      <c r="AB2" s="7"/>
      <c r="AC2" s="7"/>
      <c r="AD2" s="7"/>
      <c r="AE2" s="7"/>
    </row>
    <row r="3" spans="1:41" ht="22.8" customHeight="1" x14ac:dyDescent="0.25">
      <c r="A3" s="7"/>
      <c r="B3" s="360" t="s">
        <v>3</v>
      </c>
      <c r="C3" s="362" t="s">
        <v>4</v>
      </c>
      <c r="D3" s="364" t="s">
        <v>139</v>
      </c>
      <c r="E3" s="364"/>
      <c r="F3" s="364" t="s">
        <v>140</v>
      </c>
      <c r="G3" s="364"/>
      <c r="H3" s="364" t="s">
        <v>141</v>
      </c>
      <c r="I3" s="364"/>
      <c r="J3" s="364" t="s">
        <v>142</v>
      </c>
      <c r="K3" s="365"/>
      <c r="L3" s="32"/>
      <c r="M3" s="366" t="s">
        <v>3</v>
      </c>
      <c r="N3" s="364" t="s">
        <v>13</v>
      </c>
      <c r="O3" s="369" t="s">
        <v>14</v>
      </c>
      <c r="P3" s="369"/>
      <c r="Q3" s="369"/>
      <c r="R3" s="370"/>
      <c r="S3" s="32"/>
      <c r="T3" s="371"/>
      <c r="U3" s="354" t="s">
        <v>15</v>
      </c>
      <c r="V3" s="354" t="s">
        <v>16</v>
      </c>
      <c r="W3" s="354" t="s">
        <v>17</v>
      </c>
      <c r="X3" s="354" t="s">
        <v>18</v>
      </c>
      <c r="Y3" s="354" t="s">
        <v>19</v>
      </c>
      <c r="Z3" s="354" t="s">
        <v>20</v>
      </c>
      <c r="AA3" s="354" t="s">
        <v>21</v>
      </c>
      <c r="AB3" s="354" t="s">
        <v>22</v>
      </c>
      <c r="AC3" s="354" t="s">
        <v>238</v>
      </c>
      <c r="AD3" s="354" t="s">
        <v>23</v>
      </c>
      <c r="AE3" s="356" t="s">
        <v>24</v>
      </c>
      <c r="AF3" s="358" t="s">
        <v>25</v>
      </c>
      <c r="AG3" s="7"/>
      <c r="AJ3" s="29" t="s">
        <v>56</v>
      </c>
      <c r="AK3" s="7"/>
      <c r="AL3" s="7"/>
      <c r="AM3" s="7"/>
      <c r="AN3" s="7"/>
      <c r="AO3" s="7"/>
    </row>
    <row r="4" spans="1:41" ht="35.4" customHeight="1" thickBot="1" x14ac:dyDescent="0.3">
      <c r="A4" s="9"/>
      <c r="B4" s="361"/>
      <c r="C4" s="363"/>
      <c r="D4" s="113" t="s">
        <v>14</v>
      </c>
      <c r="E4" s="113" t="s">
        <v>26</v>
      </c>
      <c r="F4" s="113" t="s">
        <v>14</v>
      </c>
      <c r="G4" s="113" t="s">
        <v>26</v>
      </c>
      <c r="H4" s="113" t="s">
        <v>14</v>
      </c>
      <c r="I4" s="113" t="s">
        <v>26</v>
      </c>
      <c r="J4" s="113" t="s">
        <v>14</v>
      </c>
      <c r="K4" s="114" t="s">
        <v>26</v>
      </c>
      <c r="L4" s="32"/>
      <c r="M4" s="367"/>
      <c r="N4" s="368"/>
      <c r="O4" s="113" t="s">
        <v>139</v>
      </c>
      <c r="P4" s="113" t="s">
        <v>140</v>
      </c>
      <c r="Q4" s="113" t="s">
        <v>141</v>
      </c>
      <c r="R4" s="114" t="s">
        <v>142</v>
      </c>
      <c r="S4" s="32"/>
      <c r="T4" s="372"/>
      <c r="U4" s="355"/>
      <c r="V4" s="355"/>
      <c r="W4" s="355"/>
      <c r="X4" s="355"/>
      <c r="Y4" s="355"/>
      <c r="Z4" s="355"/>
      <c r="AA4" s="355"/>
      <c r="AB4" s="355"/>
      <c r="AC4" s="355"/>
      <c r="AD4" s="355"/>
      <c r="AE4" s="357"/>
      <c r="AF4" s="359"/>
      <c r="AG4" s="9"/>
      <c r="AJ4" s="195" t="s">
        <v>14</v>
      </c>
      <c r="AK4" s="195">
        <v>5</v>
      </c>
      <c r="AL4" s="195">
        <v>4</v>
      </c>
      <c r="AM4" s="195">
        <v>3</v>
      </c>
      <c r="AN4" s="195">
        <v>2</v>
      </c>
      <c r="AO4" s="195">
        <v>1</v>
      </c>
    </row>
    <row r="5" spans="1:41" ht="62.4" customHeight="1" x14ac:dyDescent="0.25">
      <c r="A5" s="7"/>
      <c r="B5" s="50" t="s">
        <v>15</v>
      </c>
      <c r="C5" s="51">
        <f t="shared" ref="C5:D14" si="0">N5</f>
        <v>8.6021505376344093E-2</v>
      </c>
      <c r="D5" s="52">
        <f t="shared" si="0"/>
        <v>4</v>
      </c>
      <c r="E5" s="53" t="s">
        <v>31</v>
      </c>
      <c r="F5" s="52">
        <f t="shared" ref="F5:F14" si="1">P5</f>
        <v>4</v>
      </c>
      <c r="G5" s="53" t="s">
        <v>31</v>
      </c>
      <c r="H5" s="52">
        <f t="shared" ref="H5:H14" si="2">Q5</f>
        <v>4</v>
      </c>
      <c r="I5" s="53" t="s">
        <v>31</v>
      </c>
      <c r="J5" s="52">
        <f>R5</f>
        <v>4</v>
      </c>
      <c r="K5" s="55" t="s">
        <v>31</v>
      </c>
      <c r="L5" s="32"/>
      <c r="M5" s="50" t="s">
        <v>15</v>
      </c>
      <c r="N5" s="51">
        <f t="shared" ref="N5:N14" si="3">AF5</f>
        <v>8.6021505376344093E-2</v>
      </c>
      <c r="O5" s="52">
        <v>4</v>
      </c>
      <c r="P5" s="52">
        <v>4</v>
      </c>
      <c r="Q5" s="52">
        <v>4</v>
      </c>
      <c r="R5" s="121">
        <v>4</v>
      </c>
      <c r="S5" s="32"/>
      <c r="T5" s="18" t="s">
        <v>15</v>
      </c>
      <c r="U5" s="25"/>
      <c r="V5" s="96">
        <v>2</v>
      </c>
      <c r="W5" s="96">
        <v>1</v>
      </c>
      <c r="X5" s="96">
        <v>2</v>
      </c>
      <c r="Y5" s="96">
        <v>0</v>
      </c>
      <c r="Z5" s="96">
        <v>1</v>
      </c>
      <c r="AA5" s="96">
        <v>0</v>
      </c>
      <c r="AB5" s="96">
        <v>0</v>
      </c>
      <c r="AC5" s="189">
        <v>1</v>
      </c>
      <c r="AD5" s="97">
        <v>1</v>
      </c>
      <c r="AE5" s="16">
        <f t="shared" ref="AE5:AE14" si="4">SUM(U5:AD5)</f>
        <v>8</v>
      </c>
      <c r="AF5" s="26">
        <f t="shared" ref="AF5:AF14" si="5">AE5/$AE$15</f>
        <v>8.6021505376344093E-2</v>
      </c>
      <c r="AG5" s="7"/>
      <c r="AJ5" s="196" t="s">
        <v>21</v>
      </c>
      <c r="AK5" s="146" t="s">
        <v>394</v>
      </c>
      <c r="AL5" s="146" t="s">
        <v>395</v>
      </c>
      <c r="AM5" s="146" t="s">
        <v>396</v>
      </c>
      <c r="AN5" s="146" t="s">
        <v>323</v>
      </c>
      <c r="AO5" s="146" t="s">
        <v>397</v>
      </c>
    </row>
    <row r="6" spans="1:41" ht="53.4" customHeight="1" x14ac:dyDescent="0.25">
      <c r="A6" s="7"/>
      <c r="B6" s="50" t="s">
        <v>16</v>
      </c>
      <c r="C6" s="51">
        <f t="shared" si="0"/>
        <v>5.3763440860215055E-2</v>
      </c>
      <c r="D6" s="52">
        <f t="shared" si="0"/>
        <v>2</v>
      </c>
      <c r="E6" s="53" t="s">
        <v>301</v>
      </c>
      <c r="F6" s="52">
        <f t="shared" si="1"/>
        <v>4</v>
      </c>
      <c r="G6" s="53" t="s">
        <v>303</v>
      </c>
      <c r="H6" s="52">
        <f t="shared" si="2"/>
        <v>3</v>
      </c>
      <c r="I6" s="53" t="s">
        <v>401</v>
      </c>
      <c r="J6" s="52">
        <v>3</v>
      </c>
      <c r="K6" s="55" t="s">
        <v>304</v>
      </c>
      <c r="L6" s="32"/>
      <c r="M6" s="50" t="s">
        <v>16</v>
      </c>
      <c r="N6" s="51">
        <f t="shared" si="3"/>
        <v>5.3763440860215055E-2</v>
      </c>
      <c r="O6" s="122">
        <v>2</v>
      </c>
      <c r="P6" s="122">
        <v>4</v>
      </c>
      <c r="Q6" s="122">
        <v>3</v>
      </c>
      <c r="R6" s="123">
        <v>3</v>
      </c>
      <c r="S6" s="32"/>
      <c r="T6" s="19" t="s">
        <v>16</v>
      </c>
      <c r="U6" s="98">
        <v>0</v>
      </c>
      <c r="V6" s="27"/>
      <c r="W6" s="98">
        <v>1</v>
      </c>
      <c r="X6" s="98">
        <v>1</v>
      </c>
      <c r="Y6" s="98">
        <v>0</v>
      </c>
      <c r="Z6" s="98">
        <v>1</v>
      </c>
      <c r="AA6" s="98">
        <v>0</v>
      </c>
      <c r="AB6" s="98">
        <v>0</v>
      </c>
      <c r="AC6" s="190">
        <v>1</v>
      </c>
      <c r="AD6" s="99">
        <v>1</v>
      </c>
      <c r="AE6" s="17">
        <f t="shared" si="4"/>
        <v>5</v>
      </c>
      <c r="AF6" s="28">
        <f t="shared" si="5"/>
        <v>5.3763440860215055E-2</v>
      </c>
      <c r="AG6" s="7"/>
      <c r="AJ6" s="196" t="s">
        <v>15</v>
      </c>
      <c r="AK6" s="146" t="s">
        <v>62</v>
      </c>
      <c r="AL6" s="146" t="s">
        <v>63</v>
      </c>
      <c r="AM6" s="146" t="s">
        <v>64</v>
      </c>
      <c r="AN6" s="146" t="s">
        <v>65</v>
      </c>
      <c r="AO6" s="146" t="s">
        <v>66</v>
      </c>
    </row>
    <row r="7" spans="1:41" ht="66" x14ac:dyDescent="0.25">
      <c r="A7" s="7"/>
      <c r="B7" s="50" t="s">
        <v>39</v>
      </c>
      <c r="C7" s="51">
        <f t="shared" si="0"/>
        <v>5.3763440860215055E-2</v>
      </c>
      <c r="D7" s="52">
        <f t="shared" si="0"/>
        <v>4</v>
      </c>
      <c r="E7" s="53" t="s">
        <v>40</v>
      </c>
      <c r="F7" s="52">
        <f t="shared" si="1"/>
        <v>2</v>
      </c>
      <c r="G7" s="53" t="s">
        <v>41</v>
      </c>
      <c r="H7" s="52">
        <f t="shared" si="2"/>
        <v>2</v>
      </c>
      <c r="I7" s="53" t="s">
        <v>41</v>
      </c>
      <c r="J7" s="52">
        <f t="shared" ref="J7:J14" si="6">R7</f>
        <v>2</v>
      </c>
      <c r="K7" s="55" t="s">
        <v>41</v>
      </c>
      <c r="L7" s="32"/>
      <c r="M7" s="50" t="s">
        <v>39</v>
      </c>
      <c r="N7" s="51">
        <f t="shared" si="3"/>
        <v>5.3763440860215055E-2</v>
      </c>
      <c r="O7" s="52">
        <v>4</v>
      </c>
      <c r="P7" s="52">
        <v>2</v>
      </c>
      <c r="Q7" s="52">
        <v>2</v>
      </c>
      <c r="R7" s="121">
        <v>2</v>
      </c>
      <c r="S7" s="32"/>
      <c r="T7" s="19" t="s">
        <v>42</v>
      </c>
      <c r="U7" s="98">
        <v>1</v>
      </c>
      <c r="V7" s="98">
        <v>1</v>
      </c>
      <c r="W7" s="27"/>
      <c r="X7" s="98">
        <v>1</v>
      </c>
      <c r="Y7" s="98">
        <v>0</v>
      </c>
      <c r="Z7" s="98">
        <v>1</v>
      </c>
      <c r="AA7" s="98">
        <v>0</v>
      </c>
      <c r="AB7" s="98">
        <v>0</v>
      </c>
      <c r="AC7" s="190">
        <v>0</v>
      </c>
      <c r="AD7" s="99">
        <v>1</v>
      </c>
      <c r="AE7" s="17">
        <f t="shared" si="4"/>
        <v>5</v>
      </c>
      <c r="AF7" s="28">
        <f t="shared" si="5"/>
        <v>5.3763440860215055E-2</v>
      </c>
      <c r="AG7" s="7"/>
      <c r="AJ7" s="196" t="s">
        <v>16</v>
      </c>
      <c r="AK7" s="144" t="s">
        <v>67</v>
      </c>
      <c r="AL7" s="144" t="s">
        <v>68</v>
      </c>
      <c r="AM7" s="144" t="s">
        <v>69</v>
      </c>
      <c r="AN7" s="144" t="s">
        <v>70</v>
      </c>
      <c r="AO7" s="144" t="s">
        <v>71</v>
      </c>
    </row>
    <row r="8" spans="1:41" ht="91.95" customHeight="1" x14ac:dyDescent="0.25">
      <c r="A8" s="7"/>
      <c r="B8" s="50" t="s">
        <v>18</v>
      </c>
      <c r="C8" s="51">
        <f t="shared" si="0"/>
        <v>4.3010752688172046E-2</v>
      </c>
      <c r="D8" s="52">
        <f t="shared" si="0"/>
        <v>4</v>
      </c>
      <c r="E8" s="53" t="s">
        <v>402</v>
      </c>
      <c r="F8" s="52">
        <f t="shared" si="1"/>
        <v>3</v>
      </c>
      <c r="G8" s="53" t="s">
        <v>403</v>
      </c>
      <c r="H8" s="52">
        <f t="shared" si="2"/>
        <v>3</v>
      </c>
      <c r="I8" s="53" t="s">
        <v>403</v>
      </c>
      <c r="J8" s="52">
        <f t="shared" si="6"/>
        <v>3</v>
      </c>
      <c r="K8" s="55" t="s">
        <v>403</v>
      </c>
      <c r="L8" s="32"/>
      <c r="M8" s="50" t="s">
        <v>18</v>
      </c>
      <c r="N8" s="51">
        <f t="shared" si="3"/>
        <v>4.3010752688172046E-2</v>
      </c>
      <c r="O8" s="52">
        <v>4</v>
      </c>
      <c r="P8" s="52">
        <v>3</v>
      </c>
      <c r="Q8" s="52">
        <v>3</v>
      </c>
      <c r="R8" s="121">
        <v>3</v>
      </c>
      <c r="S8" s="32"/>
      <c r="T8" s="19" t="s">
        <v>18</v>
      </c>
      <c r="U8" s="98">
        <v>0</v>
      </c>
      <c r="V8" s="98">
        <v>1</v>
      </c>
      <c r="W8" s="98">
        <v>1</v>
      </c>
      <c r="X8" s="27"/>
      <c r="Y8" s="98">
        <v>0</v>
      </c>
      <c r="Z8" s="98">
        <v>1</v>
      </c>
      <c r="AA8" s="98">
        <v>0</v>
      </c>
      <c r="AB8" s="98">
        <v>0</v>
      </c>
      <c r="AC8" s="190">
        <v>0</v>
      </c>
      <c r="AD8" s="99">
        <v>1</v>
      </c>
      <c r="AE8" s="17">
        <f t="shared" si="4"/>
        <v>4</v>
      </c>
      <c r="AF8" s="28">
        <f t="shared" si="5"/>
        <v>4.3010752688172046E-2</v>
      </c>
      <c r="AG8" s="7"/>
      <c r="AJ8" s="196" t="s">
        <v>39</v>
      </c>
      <c r="AK8" s="144" t="s">
        <v>72</v>
      </c>
      <c r="AL8" s="144" t="s">
        <v>73</v>
      </c>
      <c r="AM8" s="144" t="s">
        <v>74</v>
      </c>
      <c r="AN8" s="144" t="s">
        <v>75</v>
      </c>
      <c r="AO8" s="144" t="s">
        <v>76</v>
      </c>
    </row>
    <row r="9" spans="1:41" ht="92.4" x14ac:dyDescent="0.25">
      <c r="A9" s="7"/>
      <c r="B9" s="50" t="s">
        <v>19</v>
      </c>
      <c r="C9" s="51">
        <f t="shared" si="0"/>
        <v>0.15053763440860216</v>
      </c>
      <c r="D9" s="52">
        <f t="shared" si="0"/>
        <v>5</v>
      </c>
      <c r="E9" s="53" t="s">
        <v>404</v>
      </c>
      <c r="F9" s="56">
        <f t="shared" si="1"/>
        <v>3</v>
      </c>
      <c r="G9" s="53" t="s">
        <v>405</v>
      </c>
      <c r="H9" s="56">
        <f t="shared" si="2"/>
        <v>3</v>
      </c>
      <c r="I9" s="53" t="s">
        <v>405</v>
      </c>
      <c r="J9" s="56">
        <f t="shared" si="6"/>
        <v>3</v>
      </c>
      <c r="K9" s="55" t="s">
        <v>405</v>
      </c>
      <c r="L9" s="32"/>
      <c r="M9" s="50" t="s">
        <v>19</v>
      </c>
      <c r="N9" s="51">
        <f t="shared" si="3"/>
        <v>0.15053763440860216</v>
      </c>
      <c r="O9" s="52">
        <v>5</v>
      </c>
      <c r="P9" s="52">
        <v>3</v>
      </c>
      <c r="Q9" s="52">
        <v>3</v>
      </c>
      <c r="R9" s="121">
        <v>3</v>
      </c>
      <c r="S9" s="32"/>
      <c r="T9" s="19" t="s">
        <v>19</v>
      </c>
      <c r="U9" s="98">
        <v>2</v>
      </c>
      <c r="V9" s="98">
        <v>2</v>
      </c>
      <c r="W9" s="98">
        <v>2</v>
      </c>
      <c r="X9" s="98">
        <v>2</v>
      </c>
      <c r="Y9" s="27"/>
      <c r="Z9" s="98">
        <v>2</v>
      </c>
      <c r="AA9" s="98">
        <v>1</v>
      </c>
      <c r="AB9" s="98">
        <v>1</v>
      </c>
      <c r="AC9" s="190">
        <v>1</v>
      </c>
      <c r="AD9" s="99">
        <v>1</v>
      </c>
      <c r="AE9" s="17">
        <f t="shared" si="4"/>
        <v>14</v>
      </c>
      <c r="AF9" s="28">
        <f t="shared" si="5"/>
        <v>0.15053763440860216</v>
      </c>
      <c r="AG9" s="7"/>
      <c r="AJ9" s="196" t="s">
        <v>18</v>
      </c>
      <c r="AK9" s="144" t="s">
        <v>417</v>
      </c>
      <c r="AL9" s="144" t="s">
        <v>418</v>
      </c>
      <c r="AM9" s="144" t="s">
        <v>419</v>
      </c>
      <c r="AN9" s="144" t="s">
        <v>420</v>
      </c>
      <c r="AO9" s="144" t="s">
        <v>421</v>
      </c>
    </row>
    <row r="10" spans="1:41" ht="116.4" customHeight="1" x14ac:dyDescent="0.25">
      <c r="A10" s="7"/>
      <c r="B10" s="57" t="s">
        <v>20</v>
      </c>
      <c r="C10" s="58">
        <f t="shared" si="0"/>
        <v>5.3763440860215055E-2</v>
      </c>
      <c r="D10" s="52">
        <f t="shared" si="0"/>
        <v>2</v>
      </c>
      <c r="E10" s="53" t="s">
        <v>429</v>
      </c>
      <c r="F10" s="52">
        <f t="shared" si="1"/>
        <v>3</v>
      </c>
      <c r="G10" s="53" t="s">
        <v>430</v>
      </c>
      <c r="H10" s="52">
        <f t="shared" si="2"/>
        <v>3</v>
      </c>
      <c r="I10" s="53" t="s">
        <v>431</v>
      </c>
      <c r="J10" s="52">
        <f t="shared" si="6"/>
        <v>3</v>
      </c>
      <c r="K10" s="55" t="s">
        <v>406</v>
      </c>
      <c r="L10" s="32"/>
      <c r="M10" s="50" t="s">
        <v>20</v>
      </c>
      <c r="N10" s="51">
        <f t="shared" si="3"/>
        <v>5.3763440860215055E-2</v>
      </c>
      <c r="O10" s="52">
        <v>2</v>
      </c>
      <c r="P10" s="52">
        <v>3</v>
      </c>
      <c r="Q10" s="52">
        <v>3</v>
      </c>
      <c r="R10" s="121">
        <v>3</v>
      </c>
      <c r="S10" s="32"/>
      <c r="T10" s="19" t="s">
        <v>20</v>
      </c>
      <c r="U10" s="98">
        <v>1</v>
      </c>
      <c r="V10" s="98">
        <v>1</v>
      </c>
      <c r="W10" s="98">
        <v>1</v>
      </c>
      <c r="X10" s="98">
        <v>1</v>
      </c>
      <c r="Y10" s="98">
        <v>0</v>
      </c>
      <c r="Z10" s="27"/>
      <c r="AA10" s="98">
        <v>0</v>
      </c>
      <c r="AB10" s="98">
        <v>0</v>
      </c>
      <c r="AC10" s="190">
        <v>0</v>
      </c>
      <c r="AD10" s="99">
        <v>1</v>
      </c>
      <c r="AE10" s="17">
        <f t="shared" si="4"/>
        <v>5</v>
      </c>
      <c r="AF10" s="28">
        <f t="shared" si="5"/>
        <v>5.3763440860215055E-2</v>
      </c>
      <c r="AG10" s="7"/>
      <c r="AJ10" s="197" t="s">
        <v>19</v>
      </c>
      <c r="AK10" s="146" t="s">
        <v>82</v>
      </c>
      <c r="AL10" s="146" t="s">
        <v>83</v>
      </c>
      <c r="AM10" s="146" t="s">
        <v>84</v>
      </c>
      <c r="AN10" s="146" t="s">
        <v>85</v>
      </c>
      <c r="AO10" s="146" t="s">
        <v>86</v>
      </c>
    </row>
    <row r="11" spans="1:41" ht="44.4" customHeight="1" x14ac:dyDescent="0.25">
      <c r="A11" s="7"/>
      <c r="B11" s="50" t="s">
        <v>21</v>
      </c>
      <c r="C11" s="51">
        <f t="shared" si="0"/>
        <v>0.15053763440860216</v>
      </c>
      <c r="D11" s="52">
        <f t="shared" si="0"/>
        <v>2</v>
      </c>
      <c r="E11" s="53" t="s">
        <v>407</v>
      </c>
      <c r="F11" s="52">
        <f t="shared" si="1"/>
        <v>3</v>
      </c>
      <c r="G11" s="53" t="s">
        <v>309</v>
      </c>
      <c r="H11" s="52">
        <f t="shared" si="2"/>
        <v>3</v>
      </c>
      <c r="I11" s="53" t="s">
        <v>310</v>
      </c>
      <c r="J11" s="52">
        <f t="shared" si="6"/>
        <v>3</v>
      </c>
      <c r="K11" s="55" t="s">
        <v>309</v>
      </c>
      <c r="L11" s="32"/>
      <c r="M11" s="50" t="s">
        <v>21</v>
      </c>
      <c r="N11" s="51">
        <f t="shared" si="3"/>
        <v>0.15053763440860216</v>
      </c>
      <c r="O11" s="52">
        <v>2</v>
      </c>
      <c r="P11" s="52">
        <v>3</v>
      </c>
      <c r="Q11" s="52">
        <v>3</v>
      </c>
      <c r="R11" s="121">
        <v>3</v>
      </c>
      <c r="S11" s="32"/>
      <c r="T11" s="19" t="s">
        <v>21</v>
      </c>
      <c r="U11" s="98">
        <v>2</v>
      </c>
      <c r="V11" s="98">
        <v>2</v>
      </c>
      <c r="W11" s="98">
        <v>2</v>
      </c>
      <c r="X11" s="98">
        <v>2</v>
      </c>
      <c r="Y11" s="98">
        <v>1</v>
      </c>
      <c r="Z11" s="98">
        <v>2</v>
      </c>
      <c r="AA11" s="27"/>
      <c r="AB11" s="98">
        <v>1</v>
      </c>
      <c r="AC11" s="190">
        <v>1</v>
      </c>
      <c r="AD11" s="99">
        <v>1</v>
      </c>
      <c r="AE11" s="17">
        <f t="shared" si="4"/>
        <v>14</v>
      </c>
      <c r="AF11" s="28">
        <f t="shared" si="5"/>
        <v>0.15053763440860216</v>
      </c>
      <c r="AG11" s="7"/>
      <c r="AJ11" s="197" t="s">
        <v>20</v>
      </c>
      <c r="AK11" s="146" t="s">
        <v>422</v>
      </c>
      <c r="AL11" s="146" t="s">
        <v>88</v>
      </c>
      <c r="AM11" s="146" t="s">
        <v>423</v>
      </c>
      <c r="AN11" s="146" t="s">
        <v>424</v>
      </c>
      <c r="AO11" s="146" t="s">
        <v>425</v>
      </c>
    </row>
    <row r="12" spans="1:41" ht="75" customHeight="1" x14ac:dyDescent="0.25">
      <c r="A12" s="7"/>
      <c r="B12" s="50" t="s">
        <v>22</v>
      </c>
      <c r="C12" s="51">
        <f t="shared" si="0"/>
        <v>0.16129032258064516</v>
      </c>
      <c r="D12" s="52">
        <f t="shared" si="0"/>
        <v>4</v>
      </c>
      <c r="E12" s="54" t="s">
        <v>451</v>
      </c>
      <c r="F12" s="52">
        <f t="shared" si="1"/>
        <v>4</v>
      </c>
      <c r="G12" s="53" t="s">
        <v>450</v>
      </c>
      <c r="H12" s="52">
        <f t="shared" si="2"/>
        <v>4</v>
      </c>
      <c r="I12" s="53" t="s">
        <v>450</v>
      </c>
      <c r="J12" s="52">
        <f t="shared" si="6"/>
        <v>4</v>
      </c>
      <c r="K12" s="55" t="s">
        <v>450</v>
      </c>
      <c r="L12" s="32"/>
      <c r="M12" s="50" t="s">
        <v>22</v>
      </c>
      <c r="N12" s="51">
        <f t="shared" si="3"/>
        <v>0.16129032258064516</v>
      </c>
      <c r="O12" s="52">
        <v>4</v>
      </c>
      <c r="P12" s="52">
        <v>4</v>
      </c>
      <c r="Q12" s="52">
        <v>4</v>
      </c>
      <c r="R12" s="121">
        <v>4</v>
      </c>
      <c r="S12" s="32"/>
      <c r="T12" s="19" t="s">
        <v>22</v>
      </c>
      <c r="U12" s="98">
        <v>2</v>
      </c>
      <c r="V12" s="98">
        <v>2</v>
      </c>
      <c r="W12" s="98">
        <v>2</v>
      </c>
      <c r="X12" s="98">
        <v>2</v>
      </c>
      <c r="Y12" s="98">
        <v>1</v>
      </c>
      <c r="Z12" s="98">
        <v>2</v>
      </c>
      <c r="AA12" s="98">
        <v>1</v>
      </c>
      <c r="AB12" s="27"/>
      <c r="AC12" s="194">
        <v>1</v>
      </c>
      <c r="AD12" s="99">
        <v>2</v>
      </c>
      <c r="AE12" s="17">
        <f t="shared" si="4"/>
        <v>15</v>
      </c>
      <c r="AF12" s="28">
        <f t="shared" si="5"/>
        <v>0.16129032258064516</v>
      </c>
      <c r="AG12" s="7"/>
      <c r="AJ12" s="197" t="s">
        <v>22</v>
      </c>
      <c r="AK12" s="146" t="s">
        <v>92</v>
      </c>
      <c r="AL12" s="146" t="s">
        <v>93</v>
      </c>
      <c r="AM12" s="146" t="s">
        <v>94</v>
      </c>
      <c r="AN12" s="146" t="s">
        <v>95</v>
      </c>
      <c r="AO12" s="146" t="s">
        <v>96</v>
      </c>
    </row>
    <row r="13" spans="1:41" ht="66.599999999999994" customHeight="1" x14ac:dyDescent="0.25">
      <c r="A13" s="7"/>
      <c r="B13" s="50" t="s">
        <v>238</v>
      </c>
      <c r="C13" s="51">
        <f t="shared" si="0"/>
        <v>0.16129032258064516</v>
      </c>
      <c r="D13" s="52">
        <f t="shared" si="0"/>
        <v>5</v>
      </c>
      <c r="E13" s="54" t="s">
        <v>445</v>
      </c>
      <c r="F13" s="52">
        <f t="shared" si="1"/>
        <v>4</v>
      </c>
      <c r="G13" s="54" t="s">
        <v>408</v>
      </c>
      <c r="H13" s="52">
        <f t="shared" si="2"/>
        <v>4</v>
      </c>
      <c r="I13" s="54" t="s">
        <v>408</v>
      </c>
      <c r="J13" s="52">
        <f t="shared" si="6"/>
        <v>4</v>
      </c>
      <c r="K13" s="120" t="s">
        <v>408</v>
      </c>
      <c r="L13" s="32"/>
      <c r="M13" s="50" t="str">
        <f>T13</f>
        <v>Construction Duration</v>
      </c>
      <c r="N13" s="51">
        <f t="shared" si="3"/>
        <v>0.16129032258064516</v>
      </c>
      <c r="O13" s="52">
        <v>5</v>
      </c>
      <c r="P13" s="52">
        <v>4</v>
      </c>
      <c r="Q13" s="52">
        <v>4</v>
      </c>
      <c r="R13" s="121">
        <v>4</v>
      </c>
      <c r="S13" s="32"/>
      <c r="T13" s="186" t="s">
        <v>238</v>
      </c>
      <c r="U13" s="187">
        <v>2</v>
      </c>
      <c r="V13" s="187">
        <v>2</v>
      </c>
      <c r="W13" s="187">
        <v>2</v>
      </c>
      <c r="X13" s="187">
        <v>2</v>
      </c>
      <c r="Y13" s="187">
        <v>1</v>
      </c>
      <c r="Z13" s="187">
        <v>2</v>
      </c>
      <c r="AA13" s="187">
        <v>1</v>
      </c>
      <c r="AB13" s="193">
        <v>1</v>
      </c>
      <c r="AC13" s="191"/>
      <c r="AD13" s="188">
        <v>2</v>
      </c>
      <c r="AE13" s="17">
        <f t="shared" si="4"/>
        <v>15</v>
      </c>
      <c r="AF13" s="28">
        <f t="shared" si="5"/>
        <v>0.16129032258064516</v>
      </c>
      <c r="AG13" s="7"/>
      <c r="AJ13" s="197" t="s">
        <v>238</v>
      </c>
      <c r="AK13" s="281" t="s">
        <v>239</v>
      </c>
      <c r="AL13" s="281" t="s">
        <v>241</v>
      </c>
      <c r="AM13" s="281" t="s">
        <v>242</v>
      </c>
      <c r="AN13" s="281" t="s">
        <v>243</v>
      </c>
      <c r="AO13" s="281" t="s">
        <v>240</v>
      </c>
    </row>
    <row r="14" spans="1:41" ht="31.8" customHeight="1" thickBot="1" x14ac:dyDescent="0.3">
      <c r="A14" s="7"/>
      <c r="B14" s="57" t="s">
        <v>23</v>
      </c>
      <c r="C14" s="58">
        <f t="shared" si="0"/>
        <v>8.6021505376344093E-2</v>
      </c>
      <c r="D14" s="52">
        <f t="shared" si="0"/>
        <v>2</v>
      </c>
      <c r="E14" s="53" t="s">
        <v>315</v>
      </c>
      <c r="F14" s="52">
        <f t="shared" si="1"/>
        <v>3</v>
      </c>
      <c r="G14" s="53" t="s">
        <v>432</v>
      </c>
      <c r="H14" s="52">
        <f t="shared" si="2"/>
        <v>3</v>
      </c>
      <c r="I14" s="53" t="s">
        <v>432</v>
      </c>
      <c r="J14" s="52">
        <f t="shared" si="6"/>
        <v>3</v>
      </c>
      <c r="K14" s="55" t="s">
        <v>432</v>
      </c>
      <c r="L14" s="32"/>
      <c r="M14" s="50" t="s">
        <v>23</v>
      </c>
      <c r="N14" s="51">
        <f t="shared" si="3"/>
        <v>8.6021505376344093E-2</v>
      </c>
      <c r="O14" s="122">
        <v>2</v>
      </c>
      <c r="P14" s="122">
        <v>3</v>
      </c>
      <c r="Q14" s="122">
        <v>3</v>
      </c>
      <c r="R14" s="123">
        <v>3</v>
      </c>
      <c r="S14" s="32"/>
      <c r="T14" s="104" t="s">
        <v>23</v>
      </c>
      <c r="U14" s="100">
        <v>1</v>
      </c>
      <c r="V14" s="100">
        <v>1</v>
      </c>
      <c r="W14" s="100">
        <v>1</v>
      </c>
      <c r="X14" s="100">
        <v>1</v>
      </c>
      <c r="Y14" s="100">
        <v>1</v>
      </c>
      <c r="Z14" s="100">
        <v>1</v>
      </c>
      <c r="AA14" s="100">
        <v>1</v>
      </c>
      <c r="AB14" s="100">
        <v>0</v>
      </c>
      <c r="AC14" s="192">
        <v>1</v>
      </c>
      <c r="AD14" s="101"/>
      <c r="AE14" s="105">
        <f t="shared" si="4"/>
        <v>8</v>
      </c>
      <c r="AF14" s="106">
        <f t="shared" si="5"/>
        <v>8.6021505376344093E-2</v>
      </c>
      <c r="AG14" s="7"/>
      <c r="AJ14" s="284" t="s">
        <v>23</v>
      </c>
      <c r="AK14" s="285" t="s">
        <v>428</v>
      </c>
      <c r="AL14" s="285" t="s">
        <v>427</v>
      </c>
      <c r="AM14" s="285" t="s">
        <v>426</v>
      </c>
      <c r="AN14" s="285" t="s">
        <v>398</v>
      </c>
      <c r="AO14" s="285" t="s">
        <v>399</v>
      </c>
    </row>
    <row r="15" spans="1:41" ht="24.9" customHeight="1" thickBot="1" x14ac:dyDescent="0.3">
      <c r="B15" s="282" t="s">
        <v>24</v>
      </c>
      <c r="C15" s="283">
        <f>SUM(C5:C14)</f>
        <v>1</v>
      </c>
      <c r="D15" s="59"/>
      <c r="E15" s="117">
        <f>SUMPRODUCT($C$5:$C$14,D5:D14)</f>
        <v>3.6236559139784941</v>
      </c>
      <c r="F15" s="118"/>
      <c r="G15" s="117">
        <f>SUMPRODUCT($C$5:$C$14,F5:F14)</f>
        <v>3.4086021505376349</v>
      </c>
      <c r="H15" s="118"/>
      <c r="I15" s="117">
        <f>SUMPRODUCT($C$5:$C$14,H5:H14)</f>
        <v>3.354838709677419</v>
      </c>
      <c r="J15" s="118"/>
      <c r="K15" s="119">
        <f>SUMPRODUCT($C$5:$C$14,J5:J14)</f>
        <v>3.354838709677419</v>
      </c>
      <c r="L15" s="32"/>
      <c r="M15" s="124" t="s">
        <v>24</v>
      </c>
      <c r="N15" s="125">
        <f>SUM(N5:N14)</f>
        <v>1</v>
      </c>
      <c r="O15" s="126">
        <f>SUMPRODUCT($N$5:$N$14,O5:O14)</f>
        <v>3.6236559139784941</v>
      </c>
      <c r="P15" s="126">
        <f>SUMPRODUCT($N$5:$N$14,P5:P14)</f>
        <v>3.4086021505376349</v>
      </c>
      <c r="Q15" s="126">
        <f>SUMPRODUCT($N$5:$N$14,Q5:Q14)</f>
        <v>3.354838709677419</v>
      </c>
      <c r="R15" s="127">
        <f>SUMPRODUCT($N$5:$N$14,R5:R14)</f>
        <v>3.354838709677419</v>
      </c>
      <c r="S15" s="32"/>
      <c r="T15" s="35"/>
      <c r="U15" s="35"/>
      <c r="V15" s="35"/>
      <c r="W15" s="35"/>
      <c r="X15" s="35"/>
      <c r="Y15" s="35"/>
      <c r="Z15" s="35"/>
      <c r="AA15" s="35"/>
      <c r="AB15" s="35"/>
      <c r="AC15" s="35"/>
      <c r="AD15" s="35"/>
      <c r="AE15" s="102">
        <f>SUM(AE5:AE14)</f>
        <v>93</v>
      </c>
      <c r="AF15" s="103">
        <f>SUM(AF5:AF14)</f>
        <v>1</v>
      </c>
    </row>
    <row r="16" spans="1:41" ht="31.2" customHeight="1" thickBot="1" x14ac:dyDescent="0.3">
      <c r="B16" s="7"/>
      <c r="C16" s="29" t="b">
        <f>C15=N15</f>
        <v>1</v>
      </c>
      <c r="D16" s="7" t="b">
        <f>SUM(D5:D14)=SUM(O5:O14)</f>
        <v>1</v>
      </c>
      <c r="E16" s="29" t="b">
        <f>E15=O15</f>
        <v>1</v>
      </c>
      <c r="F16" s="7" t="b">
        <f>SUM(F5:F14)=SUM(P5:P14)</f>
        <v>1</v>
      </c>
      <c r="G16" s="29" t="b">
        <f>G15=P15</f>
        <v>1</v>
      </c>
      <c r="H16" s="7" t="b">
        <f>SUM(H5:H14)=SUM(Q5:Q14)</f>
        <v>1</v>
      </c>
      <c r="I16" s="29" t="b">
        <f>I15=Q15</f>
        <v>1</v>
      </c>
      <c r="J16" s="7" t="b">
        <f>SUM(J5:J14)=SUM(R5:R14)</f>
        <v>1</v>
      </c>
      <c r="K16" s="29" t="b">
        <f>R15=K15</f>
        <v>1</v>
      </c>
      <c r="L16" s="32"/>
      <c r="M16" s="128" t="s">
        <v>55</v>
      </c>
      <c r="N16" s="129"/>
      <c r="O16" s="130">
        <f>RANK(O15,$O$15:$R$15,1)</f>
        <v>4</v>
      </c>
      <c r="P16" s="130">
        <f>RANK(P15,$O$15:$R$15,1)</f>
        <v>3</v>
      </c>
      <c r="Q16" s="130">
        <f>RANK(Q15,$O$15:$R$15,1)</f>
        <v>1</v>
      </c>
      <c r="R16" s="131">
        <f>RANK(R15,$O$15:$R$15,1)</f>
        <v>1</v>
      </c>
      <c r="T16" s="7"/>
      <c r="U16" s="7"/>
      <c r="V16" s="7"/>
      <c r="W16" s="7"/>
      <c r="X16" s="7"/>
      <c r="Y16" s="7"/>
      <c r="Z16" s="7"/>
      <c r="AA16" s="7"/>
      <c r="AB16" s="7"/>
      <c r="AC16" s="7"/>
      <c r="AD16" s="7"/>
      <c r="AE16" s="7"/>
      <c r="AF16" s="10"/>
      <c r="AG16" s="10"/>
      <c r="AJ16" s="197" t="s">
        <v>23</v>
      </c>
      <c r="AK16" s="349" t="s">
        <v>400</v>
      </c>
      <c r="AL16" s="350"/>
      <c r="AM16" s="350"/>
      <c r="AN16" s="350"/>
      <c r="AO16" s="351"/>
    </row>
    <row r="17" spans="1:41" ht="22.5" customHeight="1" x14ac:dyDescent="0.25">
      <c r="I17" s="7"/>
      <c r="J17" s="7"/>
      <c r="K17" s="7"/>
      <c r="M17" s="30"/>
      <c r="N17" s="31"/>
      <c r="O17" s="36" t="str">
        <f>IF(O16=1,"BEST","-")</f>
        <v>-</v>
      </c>
      <c r="P17" s="36" t="str">
        <f>IF(P16=1,"BEST","-")</f>
        <v>-</v>
      </c>
      <c r="Q17" s="36" t="str">
        <f>IF(Q16=1,"BEST","-")</f>
        <v>BEST</v>
      </c>
      <c r="R17" s="36" t="str">
        <f>IF(R16=1,"BEST","-")</f>
        <v>BEST</v>
      </c>
      <c r="T17" s="7"/>
      <c r="U17" s="7"/>
      <c r="V17" s="7"/>
      <c r="W17" s="7"/>
      <c r="X17" s="7"/>
      <c r="Y17" s="7"/>
      <c r="Z17" s="7"/>
      <c r="AA17" s="7"/>
      <c r="AB17" s="7"/>
      <c r="AC17" s="7"/>
      <c r="AD17" s="7"/>
      <c r="AE17" s="7"/>
    </row>
    <row r="18" spans="1:41" x14ac:dyDescent="0.25">
      <c r="M18" s="20"/>
      <c r="N18" s="14"/>
      <c r="O18" s="23"/>
      <c r="P18" s="23"/>
      <c r="Q18" s="23"/>
      <c r="R18" s="23"/>
    </row>
    <row r="21" spans="1:41" x14ac:dyDescent="0.25">
      <c r="AJ21" s="345"/>
      <c r="AK21" s="8" t="s">
        <v>452</v>
      </c>
    </row>
    <row r="22" spans="1:41" ht="14.25" customHeight="1" x14ac:dyDescent="0.25">
      <c r="A22" s="7"/>
      <c r="B22" s="7"/>
      <c r="C22" s="7"/>
      <c r="D22" s="7"/>
      <c r="E22" s="7"/>
      <c r="F22" s="7"/>
      <c r="H22" s="7"/>
      <c r="I22" s="7"/>
      <c r="J22" s="7"/>
      <c r="K22" s="7"/>
      <c r="L22" s="32"/>
      <c r="M22" s="7"/>
      <c r="N22" s="7"/>
      <c r="O22" s="7"/>
      <c r="P22" s="7"/>
      <c r="Q22" s="7"/>
      <c r="R22" s="7"/>
      <c r="S22" s="32"/>
      <c r="T22" s="7"/>
      <c r="U22" s="7"/>
      <c r="V22" s="7"/>
      <c r="W22" s="7"/>
      <c r="X22" s="7"/>
      <c r="Y22" s="7"/>
      <c r="Z22" s="7"/>
      <c r="AA22" s="7"/>
      <c r="AB22" s="7"/>
      <c r="AC22" s="7"/>
      <c r="AD22" s="7"/>
      <c r="AE22" s="7"/>
      <c r="AF22" s="7"/>
      <c r="AG22" s="7"/>
      <c r="AJ22" s="346"/>
      <c r="AK22" s="8" t="s">
        <v>453</v>
      </c>
    </row>
    <row r="23" spans="1:41" ht="16.2" thickBot="1" x14ac:dyDescent="0.35">
      <c r="A23" s="7"/>
      <c r="B23" s="15" t="s">
        <v>0</v>
      </c>
      <c r="C23" s="7"/>
      <c r="D23" s="7"/>
      <c r="E23" s="7"/>
      <c r="F23" s="7"/>
      <c r="G23" s="7"/>
      <c r="H23" s="7"/>
      <c r="M23" s="7"/>
      <c r="N23" s="7"/>
      <c r="O23" s="7"/>
      <c r="P23" s="7"/>
      <c r="Q23" s="7"/>
      <c r="T23" s="7"/>
      <c r="U23" s="7"/>
      <c r="V23" s="32"/>
      <c r="W23" s="15"/>
      <c r="X23" s="7"/>
      <c r="Y23" s="7"/>
      <c r="Z23" s="7"/>
      <c r="AA23" s="7"/>
      <c r="AB23" s="7"/>
      <c r="AC23" s="7"/>
      <c r="AD23" s="7"/>
      <c r="AE23" s="7"/>
      <c r="AF23" s="7"/>
      <c r="AG23" s="7"/>
      <c r="AH23" s="32"/>
      <c r="AI23" s="15"/>
      <c r="AJ23" s="7"/>
      <c r="AK23" s="7"/>
    </row>
    <row r="24" spans="1:41" ht="29.4" customHeight="1" x14ac:dyDescent="0.25">
      <c r="A24" s="7"/>
      <c r="B24" s="360" t="s">
        <v>3</v>
      </c>
      <c r="C24" s="362" t="s">
        <v>4</v>
      </c>
      <c r="D24" s="364" t="s">
        <v>453</v>
      </c>
      <c r="E24" s="365"/>
      <c r="F24" s="364" t="s">
        <v>452</v>
      </c>
      <c r="G24" s="365"/>
      <c r="H24" s="32"/>
      <c r="M24" s="366" t="s">
        <v>3</v>
      </c>
      <c r="N24" s="364" t="s">
        <v>13</v>
      </c>
      <c r="O24" s="369" t="s">
        <v>14</v>
      </c>
      <c r="P24" s="370"/>
      <c r="Q24" s="32"/>
      <c r="T24" s="371"/>
      <c r="U24" s="352" t="s">
        <v>15</v>
      </c>
      <c r="V24" s="352" t="s">
        <v>16</v>
      </c>
      <c r="W24" s="352" t="s">
        <v>17</v>
      </c>
      <c r="X24" s="352" t="s">
        <v>18</v>
      </c>
      <c r="Y24" s="352" t="s">
        <v>19</v>
      </c>
      <c r="Z24" s="352" t="s">
        <v>20</v>
      </c>
      <c r="AA24" s="352" t="s">
        <v>21</v>
      </c>
      <c r="AB24" s="352" t="s">
        <v>22</v>
      </c>
      <c r="AC24" s="354" t="s">
        <v>238</v>
      </c>
      <c r="AD24" s="373" t="s">
        <v>23</v>
      </c>
      <c r="AE24" s="375" t="s">
        <v>24</v>
      </c>
      <c r="AF24" s="373" t="s">
        <v>25</v>
      </c>
      <c r="AG24" s="7"/>
      <c r="AJ24" s="29" t="s">
        <v>56</v>
      </c>
      <c r="AK24" s="7"/>
      <c r="AL24" s="7"/>
      <c r="AM24" s="7"/>
      <c r="AN24" s="7"/>
      <c r="AO24" s="7"/>
    </row>
    <row r="25" spans="1:41" ht="35.4" customHeight="1" thickBot="1" x14ac:dyDescent="0.3">
      <c r="A25" s="9"/>
      <c r="B25" s="361"/>
      <c r="C25" s="363"/>
      <c r="D25" s="113" t="s">
        <v>14</v>
      </c>
      <c r="E25" s="113" t="s">
        <v>26</v>
      </c>
      <c r="F25" s="113" t="s">
        <v>14</v>
      </c>
      <c r="G25" s="114" t="s">
        <v>26</v>
      </c>
      <c r="H25" s="32"/>
      <c r="M25" s="367"/>
      <c r="N25" s="368"/>
      <c r="O25" s="113" t="s">
        <v>143</v>
      </c>
      <c r="P25" s="114" t="s">
        <v>144</v>
      </c>
      <c r="Q25" s="32"/>
      <c r="T25" s="372"/>
      <c r="U25" s="353"/>
      <c r="V25" s="353"/>
      <c r="W25" s="353"/>
      <c r="X25" s="353"/>
      <c r="Y25" s="353"/>
      <c r="Z25" s="353"/>
      <c r="AA25" s="353"/>
      <c r="AB25" s="353"/>
      <c r="AC25" s="355"/>
      <c r="AD25" s="374"/>
      <c r="AE25" s="376"/>
      <c r="AF25" s="374"/>
      <c r="AG25" s="9"/>
      <c r="AJ25" s="195" t="s">
        <v>14</v>
      </c>
      <c r="AK25" s="195">
        <v>5</v>
      </c>
      <c r="AL25" s="195">
        <v>4</v>
      </c>
      <c r="AM25" s="195">
        <v>3</v>
      </c>
      <c r="AN25" s="195">
        <v>2</v>
      </c>
      <c r="AO25" s="195">
        <v>1</v>
      </c>
    </row>
    <row r="26" spans="1:41" ht="62.4" customHeight="1" x14ac:dyDescent="0.25">
      <c r="A26" s="7"/>
      <c r="B26" s="50" t="s">
        <v>15</v>
      </c>
      <c r="C26" s="51">
        <f t="shared" ref="C26:D35" si="7">N26</f>
        <v>8.6021505376344093E-2</v>
      </c>
      <c r="D26" s="52">
        <f t="shared" si="7"/>
        <v>2</v>
      </c>
      <c r="E26" s="53" t="s">
        <v>474</v>
      </c>
      <c r="F26" s="52">
        <f t="shared" ref="F26:F35" si="8">P26</f>
        <v>2</v>
      </c>
      <c r="G26" s="53" t="s">
        <v>474</v>
      </c>
      <c r="H26" s="32"/>
      <c r="M26" s="50" t="s">
        <v>15</v>
      </c>
      <c r="N26" s="51">
        <f t="shared" ref="N26:N35" si="9">AF26</f>
        <v>8.6021505376344093E-2</v>
      </c>
      <c r="O26" s="52">
        <v>2</v>
      </c>
      <c r="P26" s="121">
        <v>2</v>
      </c>
      <c r="Q26" s="32"/>
      <c r="T26" s="18" t="s">
        <v>15</v>
      </c>
      <c r="U26" s="25"/>
      <c r="V26" s="96">
        <v>2</v>
      </c>
      <c r="W26" s="96">
        <v>1</v>
      </c>
      <c r="X26" s="96">
        <v>2</v>
      </c>
      <c r="Y26" s="96">
        <v>0</v>
      </c>
      <c r="Z26" s="96">
        <v>1</v>
      </c>
      <c r="AA26" s="96">
        <v>0</v>
      </c>
      <c r="AB26" s="96">
        <v>0</v>
      </c>
      <c r="AC26" s="189">
        <v>1</v>
      </c>
      <c r="AD26" s="97">
        <v>1</v>
      </c>
      <c r="AE26" s="16">
        <f t="shared" ref="AE26:AE35" si="10">SUM(U26:AD26)</f>
        <v>8</v>
      </c>
      <c r="AF26" s="26">
        <f t="shared" ref="AF26:AF35" si="11">AE26/$AE$15</f>
        <v>8.6021505376344093E-2</v>
      </c>
      <c r="AG26" s="7"/>
      <c r="AJ26" s="196" t="s">
        <v>21</v>
      </c>
      <c r="AK26" s="146" t="s">
        <v>394</v>
      </c>
      <c r="AL26" s="146" t="s">
        <v>395</v>
      </c>
      <c r="AM26" s="146" t="s">
        <v>396</v>
      </c>
      <c r="AN26" s="146" t="s">
        <v>323</v>
      </c>
      <c r="AO26" s="146" t="s">
        <v>397</v>
      </c>
    </row>
    <row r="27" spans="1:41" ht="43.8" customHeight="1" x14ac:dyDescent="0.25">
      <c r="A27" s="7"/>
      <c r="B27" s="50" t="s">
        <v>16</v>
      </c>
      <c r="C27" s="51">
        <f t="shared" si="7"/>
        <v>5.3763440860215055E-2</v>
      </c>
      <c r="D27" s="52">
        <f t="shared" si="7"/>
        <v>5</v>
      </c>
      <c r="E27" s="53" t="s">
        <v>466</v>
      </c>
      <c r="F27" s="52">
        <f t="shared" si="8"/>
        <v>3</v>
      </c>
      <c r="G27" s="55" t="s">
        <v>475</v>
      </c>
      <c r="H27" s="32"/>
      <c r="M27" s="50" t="s">
        <v>16</v>
      </c>
      <c r="N27" s="51">
        <f t="shared" si="9"/>
        <v>5.3763440860215055E-2</v>
      </c>
      <c r="O27" s="122">
        <v>5</v>
      </c>
      <c r="P27" s="123">
        <v>3</v>
      </c>
      <c r="Q27" s="32"/>
      <c r="T27" s="19" t="s">
        <v>16</v>
      </c>
      <c r="U27" s="98">
        <v>0</v>
      </c>
      <c r="V27" s="27"/>
      <c r="W27" s="98">
        <v>1</v>
      </c>
      <c r="X27" s="98">
        <v>1</v>
      </c>
      <c r="Y27" s="98">
        <v>0</v>
      </c>
      <c r="Z27" s="98">
        <v>1</v>
      </c>
      <c r="AA27" s="98">
        <v>0</v>
      </c>
      <c r="AB27" s="98">
        <v>0</v>
      </c>
      <c r="AC27" s="190">
        <v>1</v>
      </c>
      <c r="AD27" s="99">
        <v>1</v>
      </c>
      <c r="AE27" s="17">
        <f t="shared" si="10"/>
        <v>5</v>
      </c>
      <c r="AF27" s="28">
        <f t="shared" si="11"/>
        <v>5.3763440860215055E-2</v>
      </c>
      <c r="AG27" s="7"/>
      <c r="AJ27" s="347" t="s">
        <v>15</v>
      </c>
      <c r="AK27" s="146" t="s">
        <v>62</v>
      </c>
      <c r="AL27" s="146" t="s">
        <v>63</v>
      </c>
      <c r="AM27" s="146" t="s">
        <v>64</v>
      </c>
      <c r="AN27" s="146" t="s">
        <v>65</v>
      </c>
      <c r="AO27" s="146" t="s">
        <v>66</v>
      </c>
    </row>
    <row r="28" spans="1:41" ht="39.6" x14ac:dyDescent="0.25">
      <c r="A28" s="7"/>
      <c r="B28" s="50" t="s">
        <v>39</v>
      </c>
      <c r="C28" s="51">
        <f t="shared" si="7"/>
        <v>5.3763440860215055E-2</v>
      </c>
      <c r="D28" s="52">
        <f t="shared" si="7"/>
        <v>2</v>
      </c>
      <c r="E28" s="53" t="s">
        <v>41</v>
      </c>
      <c r="F28" s="52">
        <f t="shared" si="8"/>
        <v>2</v>
      </c>
      <c r="G28" s="55" t="s">
        <v>41</v>
      </c>
      <c r="H28" s="32"/>
      <c r="M28" s="50" t="s">
        <v>39</v>
      </c>
      <c r="N28" s="51">
        <f t="shared" si="9"/>
        <v>5.3763440860215055E-2</v>
      </c>
      <c r="O28" s="52">
        <v>2</v>
      </c>
      <c r="P28" s="121">
        <v>2</v>
      </c>
      <c r="Q28" s="32"/>
      <c r="T28" s="19" t="s">
        <v>42</v>
      </c>
      <c r="U28" s="98">
        <v>1</v>
      </c>
      <c r="V28" s="98">
        <v>1</v>
      </c>
      <c r="W28" s="27"/>
      <c r="X28" s="98">
        <v>1</v>
      </c>
      <c r="Y28" s="98">
        <v>0</v>
      </c>
      <c r="Z28" s="98">
        <v>1</v>
      </c>
      <c r="AA28" s="98">
        <v>0</v>
      </c>
      <c r="AB28" s="98">
        <v>0</v>
      </c>
      <c r="AC28" s="190">
        <v>0</v>
      </c>
      <c r="AD28" s="99">
        <v>1</v>
      </c>
      <c r="AE28" s="17">
        <f t="shared" si="10"/>
        <v>5</v>
      </c>
      <c r="AF28" s="28">
        <f t="shared" si="11"/>
        <v>5.3763440860215055E-2</v>
      </c>
      <c r="AG28" s="7"/>
      <c r="AJ28" s="347" t="s">
        <v>16</v>
      </c>
      <c r="AK28" s="144" t="s">
        <v>67</v>
      </c>
      <c r="AL28" s="144" t="s">
        <v>68</v>
      </c>
      <c r="AM28" s="144" t="s">
        <v>69</v>
      </c>
      <c r="AN28" s="144" t="s">
        <v>70</v>
      </c>
      <c r="AO28" s="144" t="s">
        <v>71</v>
      </c>
    </row>
    <row r="29" spans="1:41" ht="58.8" customHeight="1" x14ac:dyDescent="0.25">
      <c r="A29" s="7"/>
      <c r="B29" s="50" t="s">
        <v>18</v>
      </c>
      <c r="C29" s="51">
        <f t="shared" si="7"/>
        <v>4.3010752688172046E-2</v>
      </c>
      <c r="D29" s="52">
        <f t="shared" si="7"/>
        <v>3</v>
      </c>
      <c r="E29" s="53" t="s">
        <v>403</v>
      </c>
      <c r="F29" s="52">
        <f t="shared" si="8"/>
        <v>3</v>
      </c>
      <c r="G29" s="55" t="s">
        <v>403</v>
      </c>
      <c r="H29" s="32"/>
      <c r="M29" s="50" t="s">
        <v>18</v>
      </c>
      <c r="N29" s="51">
        <f t="shared" si="9"/>
        <v>4.3010752688172046E-2</v>
      </c>
      <c r="O29" s="52">
        <v>3</v>
      </c>
      <c r="P29" s="121">
        <v>3</v>
      </c>
      <c r="Q29" s="32"/>
      <c r="T29" s="19" t="s">
        <v>18</v>
      </c>
      <c r="U29" s="98">
        <v>0</v>
      </c>
      <c r="V29" s="98">
        <v>1</v>
      </c>
      <c r="W29" s="98">
        <v>1</v>
      </c>
      <c r="X29" s="27"/>
      <c r="Y29" s="98">
        <v>0</v>
      </c>
      <c r="Z29" s="98">
        <v>1</v>
      </c>
      <c r="AA29" s="98">
        <v>0</v>
      </c>
      <c r="AB29" s="98">
        <v>0</v>
      </c>
      <c r="AC29" s="190">
        <v>0</v>
      </c>
      <c r="AD29" s="99">
        <v>1</v>
      </c>
      <c r="AE29" s="17">
        <f t="shared" si="10"/>
        <v>4</v>
      </c>
      <c r="AF29" s="28">
        <f t="shared" si="11"/>
        <v>4.3010752688172046E-2</v>
      </c>
      <c r="AG29" s="7"/>
      <c r="AJ29" s="196" t="s">
        <v>39</v>
      </c>
      <c r="AK29" s="144" t="s">
        <v>72</v>
      </c>
      <c r="AL29" s="144" t="s">
        <v>73</v>
      </c>
      <c r="AM29" s="144" t="s">
        <v>74</v>
      </c>
      <c r="AN29" s="144" t="s">
        <v>75</v>
      </c>
      <c r="AO29" s="144" t="s">
        <v>76</v>
      </c>
    </row>
    <row r="30" spans="1:41" ht="63" customHeight="1" x14ac:dyDescent="0.25">
      <c r="A30" s="7"/>
      <c r="B30" s="50" t="s">
        <v>19</v>
      </c>
      <c r="C30" s="51">
        <f t="shared" si="7"/>
        <v>0.15053763440860216</v>
      </c>
      <c r="D30" s="52">
        <f t="shared" si="7"/>
        <v>4</v>
      </c>
      <c r="E30" s="53" t="s">
        <v>476</v>
      </c>
      <c r="F30" s="56">
        <f t="shared" si="8"/>
        <v>2</v>
      </c>
      <c r="G30" s="55" t="s">
        <v>467</v>
      </c>
      <c r="H30" s="32"/>
      <c r="M30" s="50" t="s">
        <v>19</v>
      </c>
      <c r="N30" s="51">
        <f t="shared" si="9"/>
        <v>0.15053763440860216</v>
      </c>
      <c r="O30" s="52">
        <v>4</v>
      </c>
      <c r="P30" s="121">
        <v>2</v>
      </c>
      <c r="Q30" s="32"/>
      <c r="T30" s="19" t="s">
        <v>19</v>
      </c>
      <c r="U30" s="98">
        <v>2</v>
      </c>
      <c r="V30" s="98">
        <v>2</v>
      </c>
      <c r="W30" s="98">
        <v>2</v>
      </c>
      <c r="X30" s="98">
        <v>2</v>
      </c>
      <c r="Y30" s="27"/>
      <c r="Z30" s="98">
        <v>2</v>
      </c>
      <c r="AA30" s="98">
        <v>1</v>
      </c>
      <c r="AB30" s="98">
        <v>1</v>
      </c>
      <c r="AC30" s="190">
        <v>1</v>
      </c>
      <c r="AD30" s="99">
        <v>1</v>
      </c>
      <c r="AE30" s="17">
        <f t="shared" si="10"/>
        <v>14</v>
      </c>
      <c r="AF30" s="28">
        <f t="shared" si="11"/>
        <v>0.15053763440860216</v>
      </c>
      <c r="AG30" s="7"/>
      <c r="AJ30" s="196" t="s">
        <v>18</v>
      </c>
      <c r="AK30" s="144" t="s">
        <v>417</v>
      </c>
      <c r="AL30" s="144" t="s">
        <v>418</v>
      </c>
      <c r="AM30" s="144" t="s">
        <v>419</v>
      </c>
      <c r="AN30" s="144" t="s">
        <v>420</v>
      </c>
      <c r="AO30" s="144" t="s">
        <v>421</v>
      </c>
    </row>
    <row r="31" spans="1:41" ht="46.2" customHeight="1" x14ac:dyDescent="0.25">
      <c r="A31" s="7"/>
      <c r="B31" s="57" t="s">
        <v>20</v>
      </c>
      <c r="C31" s="58">
        <f t="shared" si="7"/>
        <v>5.3763440860215055E-2</v>
      </c>
      <c r="D31" s="52">
        <f t="shared" si="7"/>
        <v>4</v>
      </c>
      <c r="E31" s="53" t="s">
        <v>472</v>
      </c>
      <c r="F31" s="52">
        <f t="shared" si="8"/>
        <v>3</v>
      </c>
      <c r="G31" s="55" t="s">
        <v>471</v>
      </c>
      <c r="H31" s="32"/>
      <c r="M31" s="50" t="s">
        <v>20</v>
      </c>
      <c r="N31" s="51">
        <f t="shared" si="9"/>
        <v>5.3763440860215055E-2</v>
      </c>
      <c r="O31" s="52">
        <v>4</v>
      </c>
      <c r="P31" s="121">
        <v>3</v>
      </c>
      <c r="Q31" s="32"/>
      <c r="T31" s="19" t="s">
        <v>20</v>
      </c>
      <c r="U31" s="98">
        <v>1</v>
      </c>
      <c r="V31" s="98">
        <v>1</v>
      </c>
      <c r="W31" s="98">
        <v>1</v>
      </c>
      <c r="X31" s="98">
        <v>1</v>
      </c>
      <c r="Y31" s="98">
        <v>0</v>
      </c>
      <c r="Z31" s="27"/>
      <c r="AA31" s="98">
        <v>0</v>
      </c>
      <c r="AB31" s="98">
        <v>0</v>
      </c>
      <c r="AC31" s="190">
        <v>0</v>
      </c>
      <c r="AD31" s="99">
        <v>1</v>
      </c>
      <c r="AE31" s="17">
        <f t="shared" si="10"/>
        <v>5</v>
      </c>
      <c r="AF31" s="28">
        <f t="shared" si="11"/>
        <v>5.3763440860215055E-2</v>
      </c>
      <c r="AG31" s="7"/>
      <c r="AJ31" s="197" t="s">
        <v>19</v>
      </c>
      <c r="AK31" s="146" t="s">
        <v>82</v>
      </c>
      <c r="AL31" s="146" t="s">
        <v>83</v>
      </c>
      <c r="AM31" s="146" t="s">
        <v>84</v>
      </c>
      <c r="AN31" s="146" t="s">
        <v>85</v>
      </c>
      <c r="AO31" s="146" t="s">
        <v>86</v>
      </c>
    </row>
    <row r="32" spans="1:41" ht="30" customHeight="1" x14ac:dyDescent="0.25">
      <c r="A32" s="7"/>
      <c r="B32" s="57" t="s">
        <v>468</v>
      </c>
      <c r="C32" s="51">
        <f t="shared" si="7"/>
        <v>0.15053763440860216</v>
      </c>
      <c r="D32" s="52">
        <f t="shared" si="7"/>
        <v>2</v>
      </c>
      <c r="E32" s="53" t="s">
        <v>414</v>
      </c>
      <c r="F32" s="52">
        <f t="shared" si="8"/>
        <v>2</v>
      </c>
      <c r="G32" s="55" t="s">
        <v>414</v>
      </c>
      <c r="H32" s="32"/>
      <c r="M32" s="50" t="s">
        <v>21</v>
      </c>
      <c r="N32" s="51">
        <f t="shared" si="9"/>
        <v>0.15053763440860216</v>
      </c>
      <c r="O32" s="52">
        <v>2</v>
      </c>
      <c r="P32" s="121">
        <v>2</v>
      </c>
      <c r="Q32" s="32"/>
      <c r="T32" s="19" t="s">
        <v>21</v>
      </c>
      <c r="U32" s="98">
        <v>2</v>
      </c>
      <c r="V32" s="98">
        <v>2</v>
      </c>
      <c r="W32" s="98">
        <v>2</v>
      </c>
      <c r="X32" s="98">
        <v>2</v>
      </c>
      <c r="Y32" s="98">
        <v>1</v>
      </c>
      <c r="Z32" s="98">
        <v>2</v>
      </c>
      <c r="AA32" s="27"/>
      <c r="AB32" s="98">
        <v>1</v>
      </c>
      <c r="AC32" s="190">
        <v>1</v>
      </c>
      <c r="AD32" s="99">
        <v>1</v>
      </c>
      <c r="AE32" s="17">
        <f t="shared" si="10"/>
        <v>14</v>
      </c>
      <c r="AF32" s="28">
        <f t="shared" si="11"/>
        <v>0.15053763440860216</v>
      </c>
      <c r="AG32" s="7"/>
      <c r="AJ32" s="197" t="s">
        <v>20</v>
      </c>
      <c r="AK32" s="146" t="s">
        <v>422</v>
      </c>
      <c r="AL32" s="146" t="s">
        <v>88</v>
      </c>
      <c r="AM32" s="146" t="s">
        <v>423</v>
      </c>
      <c r="AN32" s="146" t="s">
        <v>424</v>
      </c>
      <c r="AO32" s="146" t="s">
        <v>425</v>
      </c>
    </row>
    <row r="33" spans="1:41" ht="81.599999999999994" customHeight="1" x14ac:dyDescent="0.25">
      <c r="A33" s="7"/>
      <c r="B33" s="50" t="s">
        <v>22</v>
      </c>
      <c r="C33" s="51">
        <f t="shared" si="7"/>
        <v>0.16129032258064516</v>
      </c>
      <c r="D33" s="52">
        <f t="shared" si="7"/>
        <v>5</v>
      </c>
      <c r="E33" s="53" t="s">
        <v>470</v>
      </c>
      <c r="F33" s="52">
        <f t="shared" si="8"/>
        <v>3</v>
      </c>
      <c r="G33" s="55" t="s">
        <v>469</v>
      </c>
      <c r="H33" s="32"/>
      <c r="M33" s="50" t="s">
        <v>22</v>
      </c>
      <c r="N33" s="51">
        <f t="shared" si="9"/>
        <v>0.16129032258064516</v>
      </c>
      <c r="O33" s="52">
        <v>5</v>
      </c>
      <c r="P33" s="121">
        <v>3</v>
      </c>
      <c r="Q33" s="32"/>
      <c r="T33" s="19" t="s">
        <v>22</v>
      </c>
      <c r="U33" s="98">
        <v>2</v>
      </c>
      <c r="V33" s="98">
        <v>2</v>
      </c>
      <c r="W33" s="98">
        <v>2</v>
      </c>
      <c r="X33" s="98">
        <v>2</v>
      </c>
      <c r="Y33" s="98">
        <v>1</v>
      </c>
      <c r="Z33" s="98">
        <v>2</v>
      </c>
      <c r="AA33" s="98">
        <v>1</v>
      </c>
      <c r="AB33" s="27"/>
      <c r="AC33" s="194">
        <v>1</v>
      </c>
      <c r="AD33" s="99">
        <v>2</v>
      </c>
      <c r="AE33" s="17">
        <f t="shared" si="10"/>
        <v>15</v>
      </c>
      <c r="AF33" s="28">
        <f t="shared" si="11"/>
        <v>0.16129032258064516</v>
      </c>
      <c r="AG33" s="7"/>
      <c r="AJ33" s="197" t="s">
        <v>22</v>
      </c>
      <c r="AK33" s="146" t="s">
        <v>92</v>
      </c>
      <c r="AL33" s="146" t="s">
        <v>93</v>
      </c>
      <c r="AM33" s="146" t="s">
        <v>94</v>
      </c>
      <c r="AN33" s="146" t="s">
        <v>95</v>
      </c>
      <c r="AO33" s="146" t="s">
        <v>96</v>
      </c>
    </row>
    <row r="34" spans="1:41" ht="30.6" customHeight="1" x14ac:dyDescent="0.25">
      <c r="A34" s="7"/>
      <c r="B34" s="50" t="s">
        <v>238</v>
      </c>
      <c r="C34" s="51">
        <f t="shared" si="7"/>
        <v>0.16129032258064516</v>
      </c>
      <c r="D34" s="52">
        <f t="shared" si="7"/>
        <v>4</v>
      </c>
      <c r="E34" s="54" t="s">
        <v>473</v>
      </c>
      <c r="F34" s="52">
        <f t="shared" si="8"/>
        <v>4</v>
      </c>
      <c r="G34" s="120" t="s">
        <v>473</v>
      </c>
      <c r="H34" s="32"/>
      <c r="M34" s="50" t="str">
        <f>T34</f>
        <v>Construction Duration</v>
      </c>
      <c r="N34" s="51">
        <f t="shared" si="9"/>
        <v>0.16129032258064516</v>
      </c>
      <c r="O34" s="52">
        <v>4</v>
      </c>
      <c r="P34" s="121">
        <v>4</v>
      </c>
      <c r="Q34" s="32"/>
      <c r="T34" s="186" t="s">
        <v>238</v>
      </c>
      <c r="U34" s="187">
        <v>2</v>
      </c>
      <c r="V34" s="187">
        <v>2</v>
      </c>
      <c r="W34" s="187">
        <v>2</v>
      </c>
      <c r="X34" s="187">
        <v>2</v>
      </c>
      <c r="Y34" s="187">
        <v>1</v>
      </c>
      <c r="Z34" s="187">
        <v>2</v>
      </c>
      <c r="AA34" s="187">
        <v>1</v>
      </c>
      <c r="AB34" s="193">
        <v>1</v>
      </c>
      <c r="AC34" s="191"/>
      <c r="AD34" s="188">
        <v>2</v>
      </c>
      <c r="AE34" s="17">
        <f t="shared" si="10"/>
        <v>15</v>
      </c>
      <c r="AF34" s="28">
        <f t="shared" si="11"/>
        <v>0.16129032258064516</v>
      </c>
      <c r="AG34" s="7"/>
      <c r="AJ34" s="197" t="s">
        <v>238</v>
      </c>
      <c r="AK34" s="281" t="s">
        <v>239</v>
      </c>
      <c r="AL34" s="281" t="s">
        <v>241</v>
      </c>
      <c r="AM34" s="281" t="s">
        <v>242</v>
      </c>
      <c r="AN34" s="281" t="s">
        <v>243</v>
      </c>
      <c r="AO34" s="281" t="s">
        <v>240</v>
      </c>
    </row>
    <row r="35" spans="1:41" ht="31.2" thickBot="1" x14ac:dyDescent="0.3">
      <c r="A35" s="7"/>
      <c r="B35" s="57" t="s">
        <v>21</v>
      </c>
      <c r="C35" s="58">
        <f t="shared" si="7"/>
        <v>8.6021505376344093E-2</v>
      </c>
      <c r="D35" s="52">
        <f t="shared" si="7"/>
        <v>2</v>
      </c>
      <c r="E35" s="53" t="s">
        <v>400</v>
      </c>
      <c r="F35" s="52">
        <f t="shared" si="8"/>
        <v>2</v>
      </c>
      <c r="G35" s="55" t="s">
        <v>400</v>
      </c>
      <c r="H35" s="32"/>
      <c r="M35" s="50" t="s">
        <v>23</v>
      </c>
      <c r="N35" s="51">
        <f t="shared" si="9"/>
        <v>8.6021505376344093E-2</v>
      </c>
      <c r="O35" s="122">
        <v>2</v>
      </c>
      <c r="P35" s="123">
        <v>2</v>
      </c>
      <c r="Q35" s="32"/>
      <c r="T35" s="104" t="s">
        <v>23</v>
      </c>
      <c r="U35" s="100">
        <v>1</v>
      </c>
      <c r="V35" s="100">
        <v>1</v>
      </c>
      <c r="W35" s="100">
        <v>1</v>
      </c>
      <c r="X35" s="100">
        <v>1</v>
      </c>
      <c r="Y35" s="100">
        <v>1</v>
      </c>
      <c r="Z35" s="100">
        <v>1</v>
      </c>
      <c r="AA35" s="100">
        <v>1</v>
      </c>
      <c r="AB35" s="100">
        <v>0</v>
      </c>
      <c r="AC35" s="192">
        <v>1</v>
      </c>
      <c r="AD35" s="101"/>
      <c r="AE35" s="105">
        <f t="shared" si="10"/>
        <v>8</v>
      </c>
      <c r="AF35" s="106">
        <f t="shared" si="11"/>
        <v>8.6021505376344093E-2</v>
      </c>
      <c r="AG35" s="7"/>
      <c r="AJ35" s="284" t="s">
        <v>23</v>
      </c>
      <c r="AK35" s="285" t="s">
        <v>428</v>
      </c>
      <c r="AL35" s="285" t="s">
        <v>427</v>
      </c>
      <c r="AM35" s="285" t="s">
        <v>426</v>
      </c>
      <c r="AN35" s="285" t="s">
        <v>398</v>
      </c>
      <c r="AO35" s="285" t="s">
        <v>399</v>
      </c>
    </row>
    <row r="36" spans="1:41" ht="24.9" customHeight="1" thickBot="1" x14ac:dyDescent="0.3">
      <c r="B36" s="282" t="s">
        <v>24</v>
      </c>
      <c r="C36" s="283">
        <f>SUM(C26:C35)</f>
        <v>1</v>
      </c>
      <c r="D36" s="59"/>
      <c r="E36" s="117">
        <f>SUMPRODUCT($C$5:$C$14,D26:D35)</f>
        <v>3.419354838709677</v>
      </c>
      <c r="F36" s="118"/>
      <c r="G36" s="119">
        <f>SUMPRODUCT($C$5:$C$14,F26:F35)</f>
        <v>2.6344086021505375</v>
      </c>
      <c r="H36" s="32"/>
      <c r="M36" s="132" t="s">
        <v>24</v>
      </c>
      <c r="N36" s="133">
        <f>SUM(N26:N35)</f>
        <v>1</v>
      </c>
      <c r="O36" s="134">
        <f>SUMPRODUCT($N$5:$N$14,O26:O35)</f>
        <v>3.419354838709677</v>
      </c>
      <c r="P36" s="135">
        <f>SUMPRODUCT($N$5:$N$14,P26:P35)</f>
        <v>2.6344086021505375</v>
      </c>
      <c r="Q36" s="32"/>
      <c r="T36" s="35"/>
      <c r="U36" s="35"/>
      <c r="V36" s="35"/>
      <c r="W36" s="35"/>
      <c r="X36" s="35"/>
      <c r="Y36" s="35"/>
      <c r="Z36" s="35"/>
      <c r="AA36" s="35"/>
      <c r="AB36" s="35"/>
      <c r="AC36" s="35"/>
      <c r="AD36" s="35"/>
      <c r="AE36" s="102">
        <f>SUM(AE26:AE35)</f>
        <v>93</v>
      </c>
      <c r="AF36" s="103">
        <f>SUM(AF26:AF35)</f>
        <v>1</v>
      </c>
    </row>
    <row r="37" spans="1:41" ht="16.2" thickBot="1" x14ac:dyDescent="0.3">
      <c r="B37" s="7"/>
      <c r="C37" s="29" t="b">
        <f>C36=N36</f>
        <v>1</v>
      </c>
      <c r="D37" s="7" t="b">
        <f>SUM(D26:D35)=SUM(O26:O35)</f>
        <v>1</v>
      </c>
      <c r="E37" s="29" t="b">
        <f>E36=O36</f>
        <v>1</v>
      </c>
      <c r="F37" s="7" t="b">
        <f>SUM(F26:F35)=SUM(P26:P35)</f>
        <v>1</v>
      </c>
      <c r="G37" s="29" t="b">
        <f>G36=P36</f>
        <v>1</v>
      </c>
      <c r="H37" s="32"/>
      <c r="M37" s="136" t="s">
        <v>55</v>
      </c>
      <c r="N37" s="137"/>
      <c r="O37" s="138">
        <f>RANK(O36,$O$36:$P$36,1)</f>
        <v>2</v>
      </c>
      <c r="P37" s="139">
        <f>RANK(P36,$O$36:$P$36,1)</f>
        <v>1</v>
      </c>
      <c r="Q37" s="33"/>
      <c r="T37" s="7"/>
      <c r="U37" s="7"/>
      <c r="V37" s="7"/>
      <c r="W37" s="7"/>
      <c r="X37" s="7"/>
      <c r="Y37" s="7"/>
      <c r="Z37" s="7"/>
      <c r="AA37" s="7"/>
      <c r="AB37" s="7"/>
      <c r="AC37" s="7"/>
      <c r="AD37" s="7"/>
      <c r="AE37" s="7"/>
      <c r="AF37" s="10"/>
      <c r="AG37" s="10"/>
      <c r="AJ37" s="197" t="s">
        <v>23</v>
      </c>
      <c r="AK37" s="349" t="s">
        <v>400</v>
      </c>
      <c r="AL37" s="350"/>
      <c r="AM37" s="350"/>
      <c r="AN37" s="350"/>
      <c r="AO37" s="351"/>
    </row>
    <row r="38" spans="1:41" ht="22.5" customHeight="1" thickBot="1" x14ac:dyDescent="0.3">
      <c r="M38" s="7"/>
      <c r="N38" s="7"/>
      <c r="O38" s="7"/>
      <c r="P38" s="7"/>
      <c r="Q38" s="7"/>
      <c r="T38" s="7"/>
      <c r="U38" s="7"/>
      <c r="V38" s="33"/>
      <c r="W38" s="30"/>
      <c r="X38" s="31"/>
      <c r="Y38" s="36"/>
      <c r="Z38" s="36"/>
      <c r="AA38" s="36"/>
      <c r="AB38" s="36"/>
      <c r="AC38" s="36"/>
      <c r="AD38" s="36"/>
      <c r="AE38" s="36"/>
      <c r="AF38" s="36"/>
      <c r="AG38" s="36"/>
      <c r="AH38" s="33"/>
      <c r="AI38" s="7"/>
      <c r="AJ38" s="7"/>
      <c r="AK38" s="7"/>
    </row>
    <row r="39" spans="1:41" ht="22.5" customHeight="1" x14ac:dyDescent="0.25">
      <c r="E39" s="364" t="s">
        <v>453</v>
      </c>
      <c r="F39" s="365"/>
      <c r="M39" s="7"/>
      <c r="N39" s="7"/>
      <c r="O39" s="7"/>
      <c r="P39" s="7"/>
      <c r="Q39" s="7"/>
      <c r="T39" s="7"/>
      <c r="U39" s="7"/>
      <c r="V39" s="33"/>
      <c r="W39" s="30"/>
      <c r="X39" s="31"/>
      <c r="Y39" s="36"/>
      <c r="Z39" s="36"/>
      <c r="AA39" s="36"/>
      <c r="AB39" s="36"/>
      <c r="AC39" s="36"/>
      <c r="AD39" s="36"/>
      <c r="AE39" s="36"/>
      <c r="AF39" s="36"/>
      <c r="AG39" s="36"/>
      <c r="AH39" s="33"/>
      <c r="AI39" s="7"/>
      <c r="AJ39" s="7"/>
      <c r="AK39" s="7"/>
    </row>
    <row r="40" spans="1:41" x14ac:dyDescent="0.25">
      <c r="E40" s="50" t="s">
        <v>19</v>
      </c>
      <c r="F40" s="8" t="s">
        <v>330</v>
      </c>
      <c r="G40" s="8" t="s">
        <v>329</v>
      </c>
      <c r="V40" s="33"/>
      <c r="AH40" s="33"/>
    </row>
    <row r="41" spans="1:41" x14ac:dyDescent="0.25">
      <c r="E41" s="8" t="s">
        <v>456</v>
      </c>
      <c r="F41" s="8">
        <v>10</v>
      </c>
      <c r="G41" s="8">
        <v>2400</v>
      </c>
      <c r="V41" s="33"/>
      <c r="AH41" s="33"/>
    </row>
    <row r="42" spans="1:41" x14ac:dyDescent="0.25">
      <c r="E42" s="8" t="s">
        <v>457</v>
      </c>
      <c r="F42" s="8">
        <v>10</v>
      </c>
      <c r="G42" s="8">
        <v>2400</v>
      </c>
      <c r="U42" s="33"/>
    </row>
    <row r="43" spans="1:41" x14ac:dyDescent="0.25">
      <c r="E43" s="8" t="s">
        <v>458</v>
      </c>
      <c r="F43" s="8">
        <v>15</v>
      </c>
      <c r="G43" s="8">
        <v>2400</v>
      </c>
    </row>
    <row r="44" spans="1:41" x14ac:dyDescent="0.25">
      <c r="E44" s="8" t="s">
        <v>459</v>
      </c>
      <c r="F44" s="8">
        <v>30</v>
      </c>
      <c r="G44" s="8">
        <v>2400</v>
      </c>
    </row>
    <row r="45" spans="1:41" x14ac:dyDescent="0.25">
      <c r="E45" s="8" t="s">
        <v>460</v>
      </c>
      <c r="F45" s="8">
        <v>30</v>
      </c>
      <c r="G45" s="8">
        <v>2400</v>
      </c>
    </row>
    <row r="46" spans="1:41" x14ac:dyDescent="0.25">
      <c r="E46" s="8" t="s">
        <v>461</v>
      </c>
      <c r="F46" s="8">
        <v>40</v>
      </c>
      <c r="G46" s="348" t="s">
        <v>463</v>
      </c>
    </row>
    <row r="47" spans="1:41" x14ac:dyDescent="0.25">
      <c r="E47" s="8" t="s">
        <v>462</v>
      </c>
      <c r="F47" s="8">
        <v>140</v>
      </c>
      <c r="G47" s="8">
        <v>2400</v>
      </c>
    </row>
    <row r="48" spans="1:41" ht="14.4" thickBot="1" x14ac:dyDescent="0.3"/>
    <row r="49" spans="5:7" x14ac:dyDescent="0.25">
      <c r="E49" s="364" t="s">
        <v>452</v>
      </c>
      <c r="F49" s="365"/>
    </row>
    <row r="50" spans="5:7" x14ac:dyDescent="0.25">
      <c r="E50" s="50" t="s">
        <v>19</v>
      </c>
      <c r="F50" s="8" t="s">
        <v>330</v>
      </c>
      <c r="G50" s="8" t="s">
        <v>329</v>
      </c>
    </row>
    <row r="51" spans="5:7" x14ac:dyDescent="0.25">
      <c r="E51" s="8" t="s">
        <v>464</v>
      </c>
      <c r="F51" s="8">
        <v>45</v>
      </c>
      <c r="G51" s="8">
        <v>2500</v>
      </c>
    </row>
    <row r="52" spans="5:7" x14ac:dyDescent="0.25">
      <c r="E52" s="8" t="s">
        <v>465</v>
      </c>
      <c r="F52" s="8">
        <v>30</v>
      </c>
      <c r="G52" s="8">
        <v>2500</v>
      </c>
    </row>
  </sheetData>
  <mergeCells count="46">
    <mergeCell ref="E39:F39"/>
    <mergeCell ref="E49:F49"/>
    <mergeCell ref="V3:V4"/>
    <mergeCell ref="B3:B4"/>
    <mergeCell ref="C3:C4"/>
    <mergeCell ref="D3:E3"/>
    <mergeCell ref="F3:G3"/>
    <mergeCell ref="H3:I3"/>
    <mergeCell ref="J3:K3"/>
    <mergeCell ref="M3:M4"/>
    <mergeCell ref="N3:N4"/>
    <mergeCell ref="O3:R3"/>
    <mergeCell ref="T3:T4"/>
    <mergeCell ref="U3:U4"/>
    <mergeCell ref="AK16:AO16"/>
    <mergeCell ref="B24:B25"/>
    <mergeCell ref="C24:C25"/>
    <mergeCell ref="D24:E24"/>
    <mergeCell ref="F24:G24"/>
    <mergeCell ref="M24:M25"/>
    <mergeCell ref="W24:W25"/>
    <mergeCell ref="N24:N25"/>
    <mergeCell ref="O24:P24"/>
    <mergeCell ref="T24:T25"/>
    <mergeCell ref="U24:U25"/>
    <mergeCell ref="V24:V25"/>
    <mergeCell ref="AD24:AD25"/>
    <mergeCell ref="AE24:AE25"/>
    <mergeCell ref="AF24:AF25"/>
    <mergeCell ref="AC3:AC4"/>
    <mergeCell ref="AD3:AD4"/>
    <mergeCell ref="AE3:AE4"/>
    <mergeCell ref="AF3:AF4"/>
    <mergeCell ref="W3:W4"/>
    <mergeCell ref="X3:X4"/>
    <mergeCell ref="Y3:Y4"/>
    <mergeCell ref="Z3:Z4"/>
    <mergeCell ref="AA3:AA4"/>
    <mergeCell ref="AB3:AB4"/>
    <mergeCell ref="AK37:AO37"/>
    <mergeCell ref="X24:X25"/>
    <mergeCell ref="Y24:Y25"/>
    <mergeCell ref="Z24:Z25"/>
    <mergeCell ref="AA24:AA25"/>
    <mergeCell ref="AB24:AB25"/>
    <mergeCell ref="AC24:AC25"/>
  </mergeCells>
  <phoneticPr fontId="58" type="noConversion"/>
  <conditionalFormatting sqref="D5:F5 H5:H6 J5:J6 D6 F6 D9:F9 D10 F10 O5:R7 J9:J13 H9:H13 D11:F11 O18:R18 O9:R14 D12:D13 F12:F13">
    <cfRule type="colorScale" priority="83">
      <colorScale>
        <cfvo type="num" val="1"/>
        <cfvo type="num" val="2.5"/>
        <cfvo type="num" val="5"/>
        <color rgb="FFFF0000"/>
        <color rgb="FFFFEB84"/>
        <color rgb="FF00B050"/>
      </colorScale>
    </cfRule>
  </conditionalFormatting>
  <conditionalFormatting sqref="O15">
    <cfRule type="colorScale" priority="82">
      <colorScale>
        <cfvo type="num" val="1"/>
        <cfvo type="num" val="2.5"/>
        <cfvo type="num" val="5"/>
        <color rgb="FFFF0000"/>
        <color rgb="FFFFEB84"/>
        <color rgb="FF00B050"/>
      </colorScale>
    </cfRule>
  </conditionalFormatting>
  <conditionalFormatting sqref="P15">
    <cfRule type="colorScale" priority="81">
      <colorScale>
        <cfvo type="num" val="1"/>
        <cfvo type="num" val="2.5"/>
        <cfvo type="num" val="5"/>
        <color rgb="FFFF0000"/>
        <color rgb="FFFFEB84"/>
        <color rgb="FF00B050"/>
      </colorScale>
    </cfRule>
  </conditionalFormatting>
  <conditionalFormatting sqref="Q15">
    <cfRule type="colorScale" priority="80">
      <colorScale>
        <cfvo type="num" val="1"/>
        <cfvo type="num" val="2.5"/>
        <cfvo type="num" val="5"/>
        <color rgb="FFFF0000"/>
        <color rgb="FFFFEB84"/>
        <color rgb="FF00B050"/>
      </colorScale>
    </cfRule>
  </conditionalFormatting>
  <conditionalFormatting sqref="R15">
    <cfRule type="colorScale" priority="79">
      <colorScale>
        <cfvo type="num" val="1"/>
        <cfvo type="num" val="2.5"/>
        <cfvo type="num" val="5"/>
        <color rgb="FFFF0000"/>
        <color rgb="FFFFEB84"/>
        <color rgb="FF00B050"/>
      </colorScale>
    </cfRule>
  </conditionalFormatting>
  <conditionalFormatting sqref="H7 J7 F7 D7:D8">
    <cfRule type="colorScale" priority="78">
      <colorScale>
        <cfvo type="num" val="1"/>
        <cfvo type="num" val="2.5"/>
        <cfvo type="num" val="5"/>
        <color rgb="FFFF0000"/>
        <color rgb="FFFFEB84"/>
        <color rgb="FF00B050"/>
      </colorScale>
    </cfRule>
  </conditionalFormatting>
  <conditionalFormatting sqref="E6">
    <cfRule type="colorScale" priority="77">
      <colorScale>
        <cfvo type="num" val="1"/>
        <cfvo type="num" val="2.5"/>
        <cfvo type="num" val="5"/>
        <color rgb="FFFF0000"/>
        <color rgb="FFFFEB84"/>
        <color rgb="FF00B050"/>
      </colorScale>
    </cfRule>
  </conditionalFormatting>
  <conditionalFormatting sqref="H14 J14 D14 F14">
    <cfRule type="colorScale" priority="76">
      <colorScale>
        <cfvo type="num" val="1"/>
        <cfvo type="num" val="2.5"/>
        <cfvo type="num" val="5"/>
        <color rgb="FFFF0000"/>
        <color rgb="FFFFEB84"/>
        <color rgb="FF00B050"/>
      </colorScale>
    </cfRule>
  </conditionalFormatting>
  <conditionalFormatting sqref="O8:R8">
    <cfRule type="colorScale" priority="75">
      <colorScale>
        <cfvo type="num" val="1"/>
        <cfvo type="num" val="2.5"/>
        <cfvo type="num" val="5"/>
        <color rgb="FFFF0000"/>
        <color rgb="FFFFEB84"/>
        <color rgb="FF00B050"/>
      </colorScale>
    </cfRule>
  </conditionalFormatting>
  <conditionalFormatting sqref="F8">
    <cfRule type="colorScale" priority="74">
      <colorScale>
        <cfvo type="num" val="1"/>
        <cfvo type="num" val="2.5"/>
        <cfvo type="num" val="5"/>
        <color rgb="FFFF0000"/>
        <color rgb="FFFFEB84"/>
        <color rgb="FF00B050"/>
      </colorScale>
    </cfRule>
  </conditionalFormatting>
  <conditionalFormatting sqref="H8">
    <cfRule type="colorScale" priority="73">
      <colorScale>
        <cfvo type="num" val="1"/>
        <cfvo type="num" val="2.5"/>
        <cfvo type="num" val="5"/>
        <color rgb="FFFF0000"/>
        <color rgb="FFFFEB84"/>
        <color rgb="FF00B050"/>
      </colorScale>
    </cfRule>
  </conditionalFormatting>
  <conditionalFormatting sqref="J8">
    <cfRule type="colorScale" priority="72">
      <colorScale>
        <cfvo type="num" val="1"/>
        <cfvo type="num" val="2.5"/>
        <cfvo type="num" val="5"/>
        <color rgb="FFFF0000"/>
        <color rgb="FFFFEB84"/>
        <color rgb="FF00B050"/>
      </colorScale>
    </cfRule>
  </conditionalFormatting>
  <conditionalFormatting sqref="O5:R14">
    <cfRule type="cellIs" dxfId="92" priority="67" operator="equal">
      <formula>1</formula>
    </cfRule>
    <cfRule type="cellIs" dxfId="91" priority="68" operator="equal">
      <formula>2</formula>
    </cfRule>
    <cfRule type="cellIs" dxfId="90" priority="69" operator="equal">
      <formula>3</formula>
    </cfRule>
    <cfRule type="cellIs" dxfId="89" priority="70" operator="equal">
      <formula>5</formula>
    </cfRule>
    <cfRule type="cellIs" dxfId="88" priority="71" operator="equal">
      <formula>4</formula>
    </cfRule>
  </conditionalFormatting>
  <conditionalFormatting sqref="G5">
    <cfRule type="colorScale" priority="66">
      <colorScale>
        <cfvo type="num" val="1"/>
        <cfvo type="num" val="2.5"/>
        <cfvo type="num" val="5"/>
        <color rgb="FFFF0000"/>
        <color rgb="FFFFEB84"/>
        <color rgb="FF00B050"/>
      </colorScale>
    </cfRule>
  </conditionalFormatting>
  <conditionalFormatting sqref="I5">
    <cfRule type="colorScale" priority="65">
      <colorScale>
        <cfvo type="num" val="1"/>
        <cfvo type="num" val="2.5"/>
        <cfvo type="num" val="5"/>
        <color rgb="FFFF0000"/>
        <color rgb="FFFFEB84"/>
        <color rgb="FF00B050"/>
      </colorScale>
    </cfRule>
  </conditionalFormatting>
  <conditionalFormatting sqref="D5:D14 F5:F14 H5:H14 J5:J14">
    <cfRule type="cellIs" dxfId="87" priority="60" operator="equal">
      <formula>1</formula>
    </cfRule>
    <cfRule type="cellIs" dxfId="86" priority="61" operator="equal">
      <formula>2</formula>
    </cfRule>
    <cfRule type="cellIs" dxfId="85" priority="62" operator="equal">
      <formula>3</formula>
    </cfRule>
    <cfRule type="cellIs" dxfId="84" priority="63" operator="equal">
      <formula>4</formula>
    </cfRule>
    <cfRule type="cellIs" dxfId="83" priority="64" operator="equal">
      <formula>5</formula>
    </cfRule>
  </conditionalFormatting>
  <conditionalFormatting sqref="K5">
    <cfRule type="colorScale" priority="59">
      <colorScale>
        <cfvo type="num" val="1"/>
        <cfvo type="num" val="2.5"/>
        <cfvo type="num" val="5"/>
        <color rgb="FFFF0000"/>
        <color rgb="FFFFEB84"/>
        <color rgb="FF00B050"/>
      </colorScale>
    </cfRule>
  </conditionalFormatting>
  <conditionalFormatting sqref="K6">
    <cfRule type="colorScale" priority="58">
      <colorScale>
        <cfvo type="num" val="1"/>
        <cfvo type="num" val="2.5"/>
        <cfvo type="num" val="5"/>
        <color rgb="FFFF0000"/>
        <color rgb="FFFFEB84"/>
        <color rgb="FF00B050"/>
      </colorScale>
    </cfRule>
  </conditionalFormatting>
  <conditionalFormatting sqref="G6">
    <cfRule type="colorScale" priority="57">
      <colorScale>
        <cfvo type="num" val="1"/>
        <cfvo type="num" val="2.5"/>
        <cfvo type="num" val="5"/>
        <color rgb="FFFF0000"/>
        <color rgb="FFFFEB84"/>
        <color rgb="FF00B050"/>
      </colorScale>
    </cfRule>
  </conditionalFormatting>
  <conditionalFormatting sqref="I7">
    <cfRule type="colorScale" priority="56">
      <colorScale>
        <cfvo type="num" val="1"/>
        <cfvo type="num" val="2.5"/>
        <cfvo type="num" val="5"/>
        <color rgb="FFFF0000"/>
        <color rgb="FFFFEB84"/>
        <color rgb="FF00B050"/>
      </colorScale>
    </cfRule>
  </conditionalFormatting>
  <conditionalFormatting sqref="E7">
    <cfRule type="colorScale" priority="55">
      <colorScale>
        <cfvo type="num" val="1"/>
        <cfvo type="num" val="2.5"/>
        <cfvo type="num" val="5"/>
        <color rgb="FFFF0000"/>
        <color rgb="FFFFEB84"/>
        <color rgb="FF00B050"/>
      </colorScale>
    </cfRule>
  </conditionalFormatting>
  <conditionalFormatting sqref="E8">
    <cfRule type="colorScale" priority="54">
      <colorScale>
        <cfvo type="num" val="1"/>
        <cfvo type="num" val="2.5"/>
        <cfvo type="num" val="5"/>
        <color rgb="FFFF0000"/>
        <color rgb="FFFFEB84"/>
        <color rgb="FF00B050"/>
      </colorScale>
    </cfRule>
  </conditionalFormatting>
  <conditionalFormatting sqref="E10">
    <cfRule type="colorScale" priority="53">
      <colorScale>
        <cfvo type="num" val="1"/>
        <cfvo type="num" val="2.5"/>
        <cfvo type="num" val="5"/>
        <color rgb="FFFF0000"/>
        <color rgb="FFFFEB84"/>
        <color rgb="FF00B050"/>
      </colorScale>
    </cfRule>
  </conditionalFormatting>
  <conditionalFormatting sqref="E14">
    <cfRule type="colorScale" priority="52">
      <colorScale>
        <cfvo type="num" val="1"/>
        <cfvo type="num" val="2.5"/>
        <cfvo type="num" val="5"/>
        <color rgb="FFFF0000"/>
        <color rgb="FFFFEB84"/>
        <color rgb="FF00B050"/>
      </colorScale>
    </cfRule>
  </conditionalFormatting>
  <conditionalFormatting sqref="I10">
    <cfRule type="colorScale" priority="51">
      <colorScale>
        <cfvo type="num" val="1"/>
        <cfvo type="num" val="2.5"/>
        <cfvo type="num" val="5"/>
        <color rgb="FFFF0000"/>
        <color rgb="FFFFEB84"/>
        <color rgb="FF00B050"/>
      </colorScale>
    </cfRule>
  </conditionalFormatting>
  <conditionalFormatting sqref="D27 F27 D31 F31 O26:P28 O30:P35 D33:D34 F33:F34 D30:G30 D32:G32 D26:G26">
    <cfRule type="colorScale" priority="50">
      <colorScale>
        <cfvo type="num" val="1"/>
        <cfvo type="num" val="2.5"/>
        <cfvo type="num" val="5"/>
        <color rgb="FFFF0000"/>
        <color rgb="FFFFEB84"/>
        <color rgb="FF00B050"/>
      </colorScale>
    </cfRule>
  </conditionalFormatting>
  <conditionalFormatting sqref="O36">
    <cfRule type="colorScale" priority="49">
      <colorScale>
        <cfvo type="num" val="1"/>
        <cfvo type="num" val="2.5"/>
        <cfvo type="num" val="5"/>
        <color rgb="FFFF0000"/>
        <color rgb="FFFFEB84"/>
        <color rgb="FF00B050"/>
      </colorScale>
    </cfRule>
  </conditionalFormatting>
  <conditionalFormatting sqref="P36">
    <cfRule type="colorScale" priority="48">
      <colorScale>
        <cfvo type="num" val="1"/>
        <cfvo type="num" val="2.5"/>
        <cfvo type="num" val="5"/>
        <color rgb="FFFF0000"/>
        <color rgb="FFFFEB84"/>
        <color rgb="FF00B050"/>
      </colorScale>
    </cfRule>
  </conditionalFormatting>
  <conditionalFormatting sqref="D28:D29 F28">
    <cfRule type="colorScale" priority="47">
      <colorScale>
        <cfvo type="num" val="1"/>
        <cfvo type="num" val="2.5"/>
        <cfvo type="num" val="5"/>
        <color rgb="FFFF0000"/>
        <color rgb="FFFFEB84"/>
        <color rgb="FF00B050"/>
      </colorScale>
    </cfRule>
  </conditionalFormatting>
  <conditionalFormatting sqref="E27">
    <cfRule type="colorScale" priority="46">
      <colorScale>
        <cfvo type="num" val="1"/>
        <cfvo type="num" val="2.5"/>
        <cfvo type="num" val="5"/>
        <color rgb="FFFF0000"/>
        <color rgb="FFFFEB84"/>
        <color rgb="FF00B050"/>
      </colorScale>
    </cfRule>
  </conditionalFormatting>
  <conditionalFormatting sqref="D35 F35">
    <cfRule type="colorScale" priority="45">
      <colorScale>
        <cfvo type="num" val="1"/>
        <cfvo type="num" val="2.5"/>
        <cfvo type="num" val="5"/>
        <color rgb="FFFF0000"/>
        <color rgb="FFFFEB84"/>
        <color rgb="FF00B050"/>
      </colorScale>
    </cfRule>
  </conditionalFormatting>
  <conditionalFormatting sqref="O29:P29">
    <cfRule type="colorScale" priority="44">
      <colorScale>
        <cfvo type="num" val="1"/>
        <cfvo type="num" val="2.5"/>
        <cfvo type="num" val="5"/>
        <color rgb="FFFF0000"/>
        <color rgb="FFFFEB84"/>
        <color rgb="FF00B050"/>
      </colorScale>
    </cfRule>
  </conditionalFormatting>
  <conditionalFormatting sqref="F29">
    <cfRule type="colorScale" priority="43">
      <colorScale>
        <cfvo type="num" val="1"/>
        <cfvo type="num" val="2.5"/>
        <cfvo type="num" val="5"/>
        <color rgb="FFFF0000"/>
        <color rgb="FFFFEB84"/>
        <color rgb="FF00B050"/>
      </colorScale>
    </cfRule>
  </conditionalFormatting>
  <conditionalFormatting sqref="O26:P35">
    <cfRule type="cellIs" dxfId="82" priority="38" operator="equal">
      <formula>1</formula>
    </cfRule>
    <cfRule type="cellIs" dxfId="81" priority="39" operator="equal">
      <formula>2</formula>
    </cfRule>
    <cfRule type="cellIs" dxfId="80" priority="40" operator="equal">
      <formula>3</formula>
    </cfRule>
    <cfRule type="cellIs" dxfId="79" priority="41" operator="equal">
      <formula>5</formula>
    </cfRule>
    <cfRule type="cellIs" dxfId="78" priority="42" operator="equal">
      <formula>4</formula>
    </cfRule>
  </conditionalFormatting>
  <conditionalFormatting sqref="D26:D35 F26:F35">
    <cfRule type="cellIs" dxfId="77" priority="32" operator="equal">
      <formula>1</formula>
    </cfRule>
    <cfRule type="cellIs" dxfId="76" priority="33" operator="equal">
      <formula>2</formula>
    </cfRule>
    <cfRule type="cellIs" dxfId="75" priority="34" operator="equal">
      <formula>3</formula>
    </cfRule>
    <cfRule type="cellIs" dxfId="74" priority="35" operator="equal">
      <formula>4</formula>
    </cfRule>
    <cfRule type="cellIs" dxfId="73" priority="36" operator="equal">
      <formula>5</formula>
    </cfRule>
  </conditionalFormatting>
  <conditionalFormatting sqref="G27">
    <cfRule type="colorScale" priority="31">
      <colorScale>
        <cfvo type="num" val="1"/>
        <cfvo type="num" val="2.5"/>
        <cfvo type="num" val="5"/>
        <color rgb="FFFF0000"/>
        <color rgb="FFFFEB84"/>
        <color rgb="FF00B050"/>
      </colorScale>
    </cfRule>
  </conditionalFormatting>
  <conditionalFormatting sqref="I6">
    <cfRule type="colorScale" priority="30">
      <colorScale>
        <cfvo type="num" val="1"/>
        <cfvo type="num" val="2.5"/>
        <cfvo type="num" val="5"/>
        <color rgb="FFFF0000"/>
        <color rgb="FFFFEB84"/>
        <color rgb="FF00B050"/>
      </colorScale>
    </cfRule>
  </conditionalFormatting>
  <conditionalFormatting sqref="G7">
    <cfRule type="colorScale" priority="29">
      <colorScale>
        <cfvo type="num" val="1"/>
        <cfvo type="num" val="2.5"/>
        <cfvo type="num" val="5"/>
        <color rgb="FFFF0000"/>
        <color rgb="FFFFEB84"/>
        <color rgb="FF00B050"/>
      </colorScale>
    </cfRule>
  </conditionalFormatting>
  <conditionalFormatting sqref="K7">
    <cfRule type="colorScale" priority="28">
      <colorScale>
        <cfvo type="num" val="1"/>
        <cfvo type="num" val="2.5"/>
        <cfvo type="num" val="5"/>
        <color rgb="FFFF0000"/>
        <color rgb="FFFFEB84"/>
        <color rgb="FF00B050"/>
      </colorScale>
    </cfRule>
  </conditionalFormatting>
  <conditionalFormatting sqref="G8">
    <cfRule type="colorScale" priority="27">
      <colorScale>
        <cfvo type="num" val="1"/>
        <cfvo type="num" val="2.5"/>
        <cfvo type="num" val="5"/>
        <color rgb="FFFF0000"/>
        <color rgb="FFFFEB84"/>
        <color rgb="FF00B050"/>
      </colorScale>
    </cfRule>
  </conditionalFormatting>
  <conditionalFormatting sqref="K8">
    <cfRule type="colorScale" priority="26">
      <colorScale>
        <cfvo type="num" val="1"/>
        <cfvo type="num" val="2.5"/>
        <cfvo type="num" val="5"/>
        <color rgb="FFFF0000"/>
        <color rgb="FFFFEB84"/>
        <color rgb="FF00B050"/>
      </colorScale>
    </cfRule>
  </conditionalFormatting>
  <conditionalFormatting sqref="G9">
    <cfRule type="colorScale" priority="25">
      <colorScale>
        <cfvo type="num" val="1"/>
        <cfvo type="num" val="2.5"/>
        <cfvo type="num" val="5"/>
        <color rgb="FFFF0000"/>
        <color rgb="FFFFEB84"/>
        <color rgb="FF00B050"/>
      </colorScale>
    </cfRule>
  </conditionalFormatting>
  <conditionalFormatting sqref="K9">
    <cfRule type="colorScale" priority="24">
      <colorScale>
        <cfvo type="num" val="1"/>
        <cfvo type="num" val="2.5"/>
        <cfvo type="num" val="5"/>
        <color rgb="FFFF0000"/>
        <color rgb="FFFFEB84"/>
        <color rgb="FF00B050"/>
      </colorScale>
    </cfRule>
  </conditionalFormatting>
  <conditionalFormatting sqref="G10">
    <cfRule type="colorScale" priority="23">
      <colorScale>
        <cfvo type="num" val="1"/>
        <cfvo type="num" val="2.5"/>
        <cfvo type="num" val="5"/>
        <color rgb="FFFF0000"/>
        <color rgb="FFFFEB84"/>
        <color rgb="FF00B050"/>
      </colorScale>
    </cfRule>
  </conditionalFormatting>
  <conditionalFormatting sqref="K10">
    <cfRule type="colorScale" priority="22">
      <colorScale>
        <cfvo type="num" val="1"/>
        <cfvo type="num" val="2.5"/>
        <cfvo type="num" val="5"/>
        <color rgb="FFFF0000"/>
        <color rgb="FFFFEB84"/>
        <color rgb="FF00B050"/>
      </colorScale>
    </cfRule>
  </conditionalFormatting>
  <conditionalFormatting sqref="G11">
    <cfRule type="colorScale" priority="21">
      <colorScale>
        <cfvo type="num" val="1"/>
        <cfvo type="num" val="2.5"/>
        <cfvo type="num" val="5"/>
        <color rgb="FFFF0000"/>
        <color rgb="FFFFEB84"/>
        <color rgb="FF00B050"/>
      </colorScale>
    </cfRule>
  </conditionalFormatting>
  <conditionalFormatting sqref="I11">
    <cfRule type="colorScale" priority="20">
      <colorScale>
        <cfvo type="num" val="1"/>
        <cfvo type="num" val="2.5"/>
        <cfvo type="num" val="5"/>
        <color rgb="FFFF0000"/>
        <color rgb="FFFFEB84"/>
        <color rgb="FF00B050"/>
      </colorScale>
    </cfRule>
  </conditionalFormatting>
  <conditionalFormatting sqref="K11">
    <cfRule type="colorScale" priority="19">
      <colorScale>
        <cfvo type="num" val="1"/>
        <cfvo type="num" val="2.5"/>
        <cfvo type="num" val="5"/>
        <color rgb="FFFF0000"/>
        <color rgb="FFFFEB84"/>
        <color rgb="FF00B050"/>
      </colorScale>
    </cfRule>
  </conditionalFormatting>
  <conditionalFormatting sqref="K12">
    <cfRule type="colorScale" priority="18">
      <colorScale>
        <cfvo type="num" val="1"/>
        <cfvo type="num" val="2.5"/>
        <cfvo type="num" val="5"/>
        <color rgb="FFFF0000"/>
        <color rgb="FFFFEB84"/>
        <color rgb="FF00B050"/>
      </colorScale>
    </cfRule>
  </conditionalFormatting>
  <conditionalFormatting sqref="G14">
    <cfRule type="colorScale" priority="17">
      <colorScale>
        <cfvo type="num" val="1"/>
        <cfvo type="num" val="2.5"/>
        <cfvo type="num" val="5"/>
        <color rgb="FFFF0000"/>
        <color rgb="FFFFEB84"/>
        <color rgb="FF00B050"/>
      </colorScale>
    </cfRule>
  </conditionalFormatting>
  <conditionalFormatting sqref="I14">
    <cfRule type="colorScale" priority="16">
      <colorScale>
        <cfvo type="num" val="1"/>
        <cfvo type="num" val="2.5"/>
        <cfvo type="num" val="5"/>
        <color rgb="FFFF0000"/>
        <color rgb="FFFFEB84"/>
        <color rgb="FF00B050"/>
      </colorScale>
    </cfRule>
  </conditionalFormatting>
  <conditionalFormatting sqref="K14">
    <cfRule type="colorScale" priority="15">
      <colorScale>
        <cfvo type="num" val="1"/>
        <cfvo type="num" val="2.5"/>
        <cfvo type="num" val="5"/>
        <color rgb="FFFF0000"/>
        <color rgb="FFFFEB84"/>
        <color rgb="FF00B050"/>
      </colorScale>
    </cfRule>
  </conditionalFormatting>
  <conditionalFormatting sqref="E28">
    <cfRule type="colorScale" priority="14">
      <colorScale>
        <cfvo type="num" val="1"/>
        <cfvo type="num" val="2.5"/>
        <cfvo type="num" val="5"/>
        <color rgb="FFFF0000"/>
        <color rgb="FFFFEB84"/>
        <color rgb="FF00B050"/>
      </colorScale>
    </cfRule>
  </conditionalFormatting>
  <conditionalFormatting sqref="G28">
    <cfRule type="colorScale" priority="13">
      <colorScale>
        <cfvo type="num" val="1"/>
        <cfvo type="num" val="2.5"/>
        <cfvo type="num" val="5"/>
        <color rgb="FFFF0000"/>
        <color rgb="FFFFEB84"/>
        <color rgb="FF00B050"/>
      </colorScale>
    </cfRule>
  </conditionalFormatting>
  <conditionalFormatting sqref="E29">
    <cfRule type="colorScale" priority="12">
      <colorScale>
        <cfvo type="num" val="1"/>
        <cfvo type="num" val="2.5"/>
        <cfvo type="num" val="5"/>
        <color rgb="FFFF0000"/>
        <color rgb="FFFFEB84"/>
        <color rgb="FF00B050"/>
      </colorScale>
    </cfRule>
  </conditionalFormatting>
  <conditionalFormatting sqref="G29">
    <cfRule type="colorScale" priority="11">
      <colorScale>
        <cfvo type="num" val="1"/>
        <cfvo type="num" val="2.5"/>
        <cfvo type="num" val="5"/>
        <color rgb="FFFF0000"/>
        <color rgb="FFFFEB84"/>
        <color rgb="FF00B050"/>
      </colorScale>
    </cfRule>
  </conditionalFormatting>
  <conditionalFormatting sqref="E31">
    <cfRule type="colorScale" priority="10">
      <colorScale>
        <cfvo type="num" val="1"/>
        <cfvo type="num" val="2.5"/>
        <cfvo type="num" val="5"/>
        <color rgb="FFFF0000"/>
        <color rgb="FFFFEB84"/>
        <color rgb="FF00B050"/>
      </colorScale>
    </cfRule>
  </conditionalFormatting>
  <conditionalFormatting sqref="G31">
    <cfRule type="colorScale" priority="9">
      <colorScale>
        <cfvo type="num" val="1"/>
        <cfvo type="num" val="2.5"/>
        <cfvo type="num" val="5"/>
        <color rgb="FFFF0000"/>
        <color rgb="FFFFEB84"/>
        <color rgb="FF00B050"/>
      </colorScale>
    </cfRule>
  </conditionalFormatting>
  <conditionalFormatting sqref="E33">
    <cfRule type="colorScale" priority="8">
      <colorScale>
        <cfvo type="num" val="1"/>
        <cfvo type="num" val="2.5"/>
        <cfvo type="num" val="5"/>
        <color rgb="FFFF0000"/>
        <color rgb="FFFFEB84"/>
        <color rgb="FF00B050"/>
      </colorScale>
    </cfRule>
  </conditionalFormatting>
  <conditionalFormatting sqref="E35">
    <cfRule type="colorScale" priority="7">
      <colorScale>
        <cfvo type="num" val="1"/>
        <cfvo type="num" val="2.5"/>
        <cfvo type="num" val="5"/>
        <color rgb="FFFF0000"/>
        <color rgb="FFFFEB84"/>
        <color rgb="FF00B050"/>
      </colorScale>
    </cfRule>
  </conditionalFormatting>
  <conditionalFormatting sqref="G35">
    <cfRule type="colorScale" priority="6">
      <colorScale>
        <cfvo type="num" val="1"/>
        <cfvo type="num" val="2.5"/>
        <cfvo type="num" val="5"/>
        <color rgb="FFFF0000"/>
        <color rgb="FFFFEB84"/>
        <color rgb="FF00B050"/>
      </colorScale>
    </cfRule>
  </conditionalFormatting>
  <conditionalFormatting sqref="G33">
    <cfRule type="colorScale" priority="5">
      <colorScale>
        <cfvo type="num" val="1"/>
        <cfvo type="num" val="2.5"/>
        <cfvo type="num" val="5"/>
        <color rgb="FFFF0000"/>
        <color rgb="FFFFEB84"/>
        <color rgb="FF00B050"/>
      </colorScale>
    </cfRule>
  </conditionalFormatting>
  <conditionalFormatting sqref="I8">
    <cfRule type="colorScale" priority="4">
      <colorScale>
        <cfvo type="num" val="1"/>
        <cfvo type="num" val="2.5"/>
        <cfvo type="num" val="5"/>
        <color rgb="FFFF0000"/>
        <color rgb="FFFFEB84"/>
        <color rgb="FF00B050"/>
      </colorScale>
    </cfRule>
  </conditionalFormatting>
  <conditionalFormatting sqref="I9">
    <cfRule type="colorScale" priority="3">
      <colorScale>
        <cfvo type="num" val="1"/>
        <cfvo type="num" val="2.5"/>
        <cfvo type="num" val="5"/>
        <color rgb="FFFF0000"/>
        <color rgb="FFFFEB84"/>
        <color rgb="FF00B050"/>
      </colorScale>
    </cfRule>
  </conditionalFormatting>
  <conditionalFormatting sqref="G12">
    <cfRule type="colorScale" priority="2">
      <colorScale>
        <cfvo type="num" val="1"/>
        <cfvo type="num" val="2.5"/>
        <cfvo type="num" val="5"/>
        <color rgb="FFFF0000"/>
        <color rgb="FFFFEB84"/>
        <color rgb="FF00B050"/>
      </colorScale>
    </cfRule>
  </conditionalFormatting>
  <conditionalFormatting sqref="I12">
    <cfRule type="colorScale" priority="1">
      <colorScale>
        <cfvo type="num" val="1"/>
        <cfvo type="num" val="2.5"/>
        <cfvo type="num" val="5"/>
        <color rgb="FFFF0000"/>
        <color rgb="FFFFEB84"/>
        <color rgb="FF00B050"/>
      </colorScale>
    </cfRule>
  </conditionalFormatting>
  <pageMargins left="0.7" right="0.7" top="0.75" bottom="0.75" header="0.3" footer="0.3"/>
  <pageSetup paperSize="9" scale="13" orientation="landscape"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8F8351-41EB-449C-8876-B6E328C8406D}">
  <sheetPr>
    <tabColor theme="8" tint="0.39997558519241921"/>
  </sheetPr>
  <dimension ref="A1:Y45"/>
  <sheetViews>
    <sheetView view="pageBreakPreview" zoomScale="85" zoomScaleNormal="130" zoomScaleSheetLayoutView="85" workbookViewId="0">
      <selection activeCell="S7" sqref="S7"/>
    </sheetView>
  </sheetViews>
  <sheetFormatPr defaultRowHeight="14.4" x14ac:dyDescent="0.3"/>
  <cols>
    <col min="1" max="1" width="9.5546875" customWidth="1"/>
    <col min="2" max="2" width="11.33203125" customWidth="1"/>
    <col min="3" max="3" width="12.109375" customWidth="1"/>
    <col min="4" max="4" width="12.77734375" customWidth="1"/>
    <col min="5" max="5" width="15.77734375" customWidth="1"/>
    <col min="6" max="6" width="13.77734375" customWidth="1"/>
    <col min="7" max="7" width="8.88671875" customWidth="1"/>
    <col min="8" max="10" width="9.77734375" customWidth="1"/>
    <col min="11" max="11" width="13.109375" customWidth="1"/>
    <col min="12" max="12" width="13.5546875" customWidth="1"/>
    <col min="13" max="13" width="11.6640625" customWidth="1"/>
    <col min="14" max="18" width="9.77734375" customWidth="1"/>
    <col min="19" max="20" width="11.33203125" customWidth="1"/>
  </cols>
  <sheetData>
    <row r="1" spans="1:25" x14ac:dyDescent="0.3">
      <c r="A1" s="290"/>
      <c r="B1" s="290"/>
      <c r="C1" s="290"/>
      <c r="D1" s="290"/>
      <c r="E1" s="290"/>
      <c r="F1" s="290"/>
      <c r="G1" s="290"/>
      <c r="H1" s="290"/>
      <c r="I1" s="290"/>
      <c r="J1" s="290"/>
      <c r="K1" s="290"/>
      <c r="L1" s="290"/>
      <c r="M1" s="290"/>
      <c r="N1" s="290"/>
      <c r="O1" s="290"/>
      <c r="P1" s="290"/>
      <c r="Q1" s="290" t="s">
        <v>448</v>
      </c>
      <c r="R1" s="290"/>
      <c r="S1" s="290"/>
      <c r="W1" s="67"/>
      <c r="X1" s="67"/>
    </row>
    <row r="2" spans="1:25" ht="18.600000000000001" customHeight="1" x14ac:dyDescent="0.3">
      <c r="A2" s="290"/>
      <c r="B2" s="428" t="s">
        <v>226</v>
      </c>
      <c r="C2" s="428"/>
      <c r="D2" s="428"/>
      <c r="E2" s="428"/>
      <c r="F2" s="428"/>
      <c r="G2" s="428"/>
      <c r="H2" s="290"/>
      <c r="I2" s="290"/>
      <c r="J2" s="290"/>
      <c r="K2" s="423" t="s">
        <v>328</v>
      </c>
      <c r="L2" s="409" t="s">
        <v>438</v>
      </c>
      <c r="M2" s="411" t="s">
        <v>329</v>
      </c>
      <c r="N2" s="413" t="s">
        <v>139</v>
      </c>
      <c r="O2" s="413"/>
      <c r="P2" s="290"/>
      <c r="Q2" s="408" t="s">
        <v>328</v>
      </c>
      <c r="R2" s="407" t="s">
        <v>446</v>
      </c>
      <c r="S2" s="407"/>
      <c r="T2" s="407"/>
      <c r="U2" s="407"/>
      <c r="W2" s="67"/>
      <c r="X2" s="67"/>
      <c r="Y2" s="321" t="s">
        <v>338</v>
      </c>
    </row>
    <row r="3" spans="1:25" x14ac:dyDescent="0.3">
      <c r="A3" s="290"/>
      <c r="B3" s="414" t="s">
        <v>436</v>
      </c>
      <c r="C3" s="427" t="s">
        <v>218</v>
      </c>
      <c r="D3" s="427"/>
      <c r="E3" s="427" t="s">
        <v>219</v>
      </c>
      <c r="F3" s="427"/>
      <c r="G3" s="292" t="s">
        <v>170</v>
      </c>
      <c r="H3" s="290"/>
      <c r="I3" s="290"/>
      <c r="J3" s="290"/>
      <c r="K3" s="424"/>
      <c r="L3" s="410"/>
      <c r="M3" s="412"/>
      <c r="N3" s="215" t="s">
        <v>235</v>
      </c>
      <c r="O3" s="215" t="s">
        <v>236</v>
      </c>
      <c r="P3" s="290"/>
      <c r="Q3" s="408"/>
      <c r="R3" s="343" t="s">
        <v>435</v>
      </c>
      <c r="S3" s="343" t="s">
        <v>433</v>
      </c>
      <c r="T3" s="343" t="s">
        <v>434</v>
      </c>
      <c r="U3" s="342" t="s">
        <v>331</v>
      </c>
      <c r="W3" s="67"/>
      <c r="X3" s="67"/>
      <c r="Y3" s="322" t="s">
        <v>333</v>
      </c>
    </row>
    <row r="4" spans="1:25" x14ac:dyDescent="0.3">
      <c r="A4" s="290"/>
      <c r="B4" s="426"/>
      <c r="C4" s="293">
        <v>3500</v>
      </c>
      <c r="D4" s="293">
        <v>2500</v>
      </c>
      <c r="E4" s="293">
        <v>3500</v>
      </c>
      <c r="F4" s="293">
        <v>2500</v>
      </c>
      <c r="G4" s="294">
        <v>3500</v>
      </c>
      <c r="H4" s="290"/>
      <c r="I4" s="290"/>
      <c r="J4" s="290"/>
      <c r="K4" s="217" t="s">
        <v>172</v>
      </c>
      <c r="L4" s="301" t="s">
        <v>435</v>
      </c>
      <c r="M4" s="218">
        <v>3500</v>
      </c>
      <c r="N4" s="218">
        <f>ROUND((((G5)/15)+(((G5)/15)*$Y$4))/1,0)</f>
        <v>506</v>
      </c>
      <c r="O4" s="218"/>
      <c r="P4" s="290"/>
      <c r="Q4" s="344" t="s">
        <v>172</v>
      </c>
      <c r="R4" s="339">
        <v>1</v>
      </c>
      <c r="S4" s="339">
        <v>0</v>
      </c>
      <c r="T4" s="340">
        <v>0</v>
      </c>
      <c r="U4" s="341">
        <f>SUM(R4:T4)</f>
        <v>1</v>
      </c>
      <c r="W4" s="67"/>
      <c r="X4" s="67"/>
      <c r="Y4" s="323">
        <f>(365-262)/365</f>
        <v>0.28219178082191781</v>
      </c>
    </row>
    <row r="5" spans="1:25" x14ac:dyDescent="0.3">
      <c r="A5" s="290"/>
      <c r="B5" s="295" t="s">
        <v>435</v>
      </c>
      <c r="C5" s="296">
        <v>3140.2549999999987</v>
      </c>
      <c r="D5" s="296" t="s">
        <v>437</v>
      </c>
      <c r="E5" s="296" t="s">
        <v>437</v>
      </c>
      <c r="F5" s="296" t="s">
        <v>437</v>
      </c>
      <c r="G5" s="297">
        <v>5913.7100000000009</v>
      </c>
      <c r="H5" s="290"/>
      <c r="I5" s="290"/>
      <c r="J5" s="290"/>
      <c r="K5" s="220" t="s">
        <v>174</v>
      </c>
      <c r="L5" s="302" t="s">
        <v>435</v>
      </c>
      <c r="M5" s="221">
        <v>3500</v>
      </c>
      <c r="N5" s="221">
        <v>328</v>
      </c>
      <c r="O5" s="221">
        <v>164</v>
      </c>
      <c r="P5" s="290"/>
      <c r="Q5" s="344" t="s">
        <v>173</v>
      </c>
      <c r="R5" s="339">
        <v>0</v>
      </c>
      <c r="S5" s="339">
        <v>0</v>
      </c>
      <c r="T5" s="340">
        <v>5</v>
      </c>
      <c r="U5" s="341">
        <f t="shared" ref="U5:U6" si="0">SUM(R5:T5)</f>
        <v>5</v>
      </c>
      <c r="W5" s="67"/>
      <c r="X5" s="67"/>
      <c r="Y5" s="324"/>
    </row>
    <row r="6" spans="1:25" x14ac:dyDescent="0.3">
      <c r="A6" s="290"/>
      <c r="B6" s="295" t="s">
        <v>433</v>
      </c>
      <c r="C6" s="296">
        <v>2620.3275000000008</v>
      </c>
      <c r="D6" s="296" t="s">
        <v>437</v>
      </c>
      <c r="E6" s="296" t="s">
        <v>437</v>
      </c>
      <c r="F6" s="296" t="s">
        <v>437</v>
      </c>
      <c r="G6" s="297" t="s">
        <v>437</v>
      </c>
      <c r="H6" s="290"/>
      <c r="I6" s="290"/>
      <c r="J6" s="290"/>
      <c r="K6" s="220" t="s">
        <v>174</v>
      </c>
      <c r="L6" s="302" t="s">
        <v>433</v>
      </c>
      <c r="M6" s="221">
        <v>3500</v>
      </c>
      <c r="N6" s="221">
        <v>275</v>
      </c>
      <c r="O6" s="221">
        <v>138</v>
      </c>
      <c r="P6" s="290"/>
      <c r="Q6" s="344" t="s">
        <v>174</v>
      </c>
      <c r="R6" s="339">
        <v>5</v>
      </c>
      <c r="S6" s="339">
        <v>5</v>
      </c>
      <c r="T6" s="340">
        <v>5</v>
      </c>
      <c r="U6" s="341">
        <f t="shared" si="0"/>
        <v>15</v>
      </c>
      <c r="V6" s="325"/>
      <c r="W6" s="67"/>
      <c r="X6" s="67"/>
      <c r="Y6" s="322" t="s">
        <v>334</v>
      </c>
    </row>
    <row r="7" spans="1:25" x14ac:dyDescent="0.3">
      <c r="A7" s="290"/>
      <c r="B7" s="298" t="s">
        <v>434</v>
      </c>
      <c r="C7" s="299" t="s">
        <v>437</v>
      </c>
      <c r="D7" s="299">
        <v>1213.3199999999997</v>
      </c>
      <c r="E7" s="299" t="s">
        <v>437</v>
      </c>
      <c r="F7" s="299">
        <v>2818.31</v>
      </c>
      <c r="G7" s="300" t="s">
        <v>437</v>
      </c>
      <c r="H7" s="290"/>
      <c r="I7" s="290"/>
      <c r="J7" s="290"/>
      <c r="K7" s="220" t="s">
        <v>174</v>
      </c>
      <c r="L7" s="302" t="s">
        <v>434</v>
      </c>
      <c r="M7" s="221">
        <v>2500</v>
      </c>
      <c r="N7" s="221">
        <v>89</v>
      </c>
      <c r="O7" s="221">
        <v>45</v>
      </c>
      <c r="P7" s="290"/>
      <c r="Q7" s="290"/>
      <c r="R7" s="290"/>
      <c r="S7" s="290"/>
      <c r="U7">
        <f>SUM(U4:U6)</f>
        <v>21</v>
      </c>
      <c r="V7" s="325"/>
      <c r="W7" s="67"/>
      <c r="X7" s="67"/>
      <c r="Y7" s="323" t="s">
        <v>335</v>
      </c>
    </row>
    <row r="8" spans="1:25" x14ac:dyDescent="0.3">
      <c r="A8" s="290"/>
      <c r="B8" s="290"/>
      <c r="C8" s="290"/>
      <c r="D8" s="290"/>
      <c r="E8" s="290"/>
      <c r="F8" s="290"/>
      <c r="G8" s="290"/>
      <c r="H8" s="290"/>
      <c r="I8" s="290"/>
      <c r="J8" s="290"/>
      <c r="K8" s="223" t="s">
        <v>173</v>
      </c>
      <c r="L8" s="303" t="s">
        <v>434</v>
      </c>
      <c r="M8" s="224">
        <v>2500</v>
      </c>
      <c r="N8" s="224">
        <f>ROUND((((F7)/15)+(((F7)/15)*$Y$4))/5,0)</f>
        <v>48</v>
      </c>
      <c r="O8" s="224">
        <f>ROUND((((F7)/15)+(((F7)/15)*$Y$4))/10,0)</f>
        <v>24</v>
      </c>
      <c r="P8" s="290"/>
      <c r="Q8" s="290"/>
      <c r="R8" s="290"/>
      <c r="S8" s="290"/>
      <c r="W8" s="67"/>
      <c r="X8" s="67"/>
    </row>
    <row r="9" spans="1:25" x14ac:dyDescent="0.3">
      <c r="A9" s="290"/>
      <c r="B9" s="290"/>
      <c r="C9" s="290"/>
      <c r="D9" s="290"/>
      <c r="E9" s="290"/>
      <c r="F9" s="290"/>
      <c r="G9" s="290"/>
      <c r="H9" s="290"/>
      <c r="I9" s="290"/>
      <c r="J9" s="290"/>
      <c r="K9" s="425"/>
      <c r="L9" s="425"/>
      <c r="M9" s="425"/>
      <c r="N9" s="286"/>
      <c r="O9" s="286"/>
      <c r="P9" s="290"/>
      <c r="Q9" s="290" t="s">
        <v>447</v>
      </c>
      <c r="R9" s="290"/>
      <c r="S9" s="290"/>
      <c r="W9" s="67"/>
      <c r="X9" s="67"/>
      <c r="Y9" t="s">
        <v>336</v>
      </c>
    </row>
    <row r="10" spans="1:25" ht="15.6" x14ac:dyDescent="0.3">
      <c r="A10" s="290"/>
      <c r="B10" s="306" t="s">
        <v>229</v>
      </c>
      <c r="C10" s="307"/>
      <c r="D10" s="308"/>
      <c r="F10" s="290"/>
      <c r="G10" s="290"/>
      <c r="H10" s="290"/>
      <c r="I10" s="290"/>
      <c r="J10" s="290"/>
      <c r="K10" s="423" t="s">
        <v>328</v>
      </c>
      <c r="L10" s="409" t="s">
        <v>438</v>
      </c>
      <c r="M10" s="411" t="s">
        <v>329</v>
      </c>
      <c r="N10" s="413" t="s">
        <v>141</v>
      </c>
      <c r="O10" s="413"/>
      <c r="P10" s="290"/>
      <c r="Q10" s="408" t="s">
        <v>328</v>
      </c>
      <c r="R10" s="407" t="s">
        <v>446</v>
      </c>
      <c r="S10" s="407"/>
      <c r="T10" s="407"/>
      <c r="U10" s="407"/>
      <c r="Y10" t="s">
        <v>337</v>
      </c>
    </row>
    <row r="11" spans="1:25" x14ac:dyDescent="0.3">
      <c r="A11" s="290"/>
      <c r="B11" s="414" t="s">
        <v>436</v>
      </c>
      <c r="C11" s="304" t="s">
        <v>218</v>
      </c>
      <c r="D11" s="309" t="s">
        <v>219</v>
      </c>
      <c r="F11" s="290"/>
      <c r="G11" s="290"/>
      <c r="H11" s="290"/>
      <c r="I11" s="290"/>
      <c r="J11" s="290"/>
      <c r="K11" s="424"/>
      <c r="L11" s="410"/>
      <c r="M11" s="412"/>
      <c r="N11" s="215" t="s">
        <v>235</v>
      </c>
      <c r="O11" s="215" t="s">
        <v>236</v>
      </c>
      <c r="P11" s="290"/>
      <c r="Q11" s="408"/>
      <c r="R11" s="343" t="s">
        <v>435</v>
      </c>
      <c r="S11" s="343" t="s">
        <v>433</v>
      </c>
      <c r="T11" s="343" t="s">
        <v>434</v>
      </c>
      <c r="U11" s="342" t="s">
        <v>331</v>
      </c>
    </row>
    <row r="12" spans="1:25" x14ac:dyDescent="0.3">
      <c r="A12" s="290"/>
      <c r="B12" s="426"/>
      <c r="C12" s="305">
        <v>2500</v>
      </c>
      <c r="D12" s="310">
        <v>2500</v>
      </c>
      <c r="F12" s="290"/>
      <c r="G12" s="290"/>
      <c r="H12" s="290"/>
      <c r="I12" s="290"/>
      <c r="J12" s="290"/>
      <c r="K12" s="220" t="s">
        <v>174</v>
      </c>
      <c r="L12" s="302" t="s">
        <v>435</v>
      </c>
      <c r="M12" s="221">
        <v>2500</v>
      </c>
      <c r="N12" s="221">
        <v>237</v>
      </c>
      <c r="O12" s="221">
        <v>119</v>
      </c>
      <c r="P12" s="290"/>
      <c r="Q12" s="344" t="s">
        <v>172</v>
      </c>
      <c r="R12" s="339">
        <v>0</v>
      </c>
      <c r="S12" s="339">
        <v>0</v>
      </c>
      <c r="T12" s="340">
        <v>0</v>
      </c>
      <c r="U12" s="341">
        <f>SUM(R12:T12)</f>
        <v>0</v>
      </c>
    </row>
    <row r="13" spans="1:25" x14ac:dyDescent="0.3">
      <c r="A13" s="290"/>
      <c r="B13" s="295" t="s">
        <v>435</v>
      </c>
      <c r="C13" s="296">
        <v>3210.8500000000004</v>
      </c>
      <c r="D13" s="297">
        <v>789.79</v>
      </c>
      <c r="F13" s="290"/>
      <c r="G13" s="290"/>
      <c r="H13" s="290"/>
      <c r="I13" s="290"/>
      <c r="J13" s="290"/>
      <c r="K13" s="220" t="s">
        <v>174</v>
      </c>
      <c r="L13" s="302" t="s">
        <v>433</v>
      </c>
      <c r="M13" s="221">
        <v>2500</v>
      </c>
      <c r="N13" s="221">
        <v>215</v>
      </c>
      <c r="O13" s="221">
        <v>107</v>
      </c>
      <c r="P13" s="290"/>
      <c r="Q13" s="344" t="s">
        <v>173</v>
      </c>
      <c r="R13" s="339">
        <v>5</v>
      </c>
      <c r="S13" s="339">
        <v>5</v>
      </c>
      <c r="T13" s="340">
        <v>5</v>
      </c>
      <c r="U13" s="341">
        <f t="shared" ref="U13:U14" si="1">SUM(R13:T13)</f>
        <v>15</v>
      </c>
    </row>
    <row r="14" spans="1:25" x14ac:dyDescent="0.3">
      <c r="A14" s="290"/>
      <c r="B14" s="295" t="s">
        <v>433</v>
      </c>
      <c r="C14" s="296">
        <v>2897.7600000000011</v>
      </c>
      <c r="D14" s="297">
        <v>2480.6900000000005</v>
      </c>
      <c r="F14" s="290"/>
      <c r="G14" s="290"/>
      <c r="H14" s="290"/>
      <c r="I14" s="290"/>
      <c r="J14" s="290"/>
      <c r="K14" s="220" t="s">
        <v>174</v>
      </c>
      <c r="L14" s="302" t="s">
        <v>434</v>
      </c>
      <c r="M14" s="221">
        <v>2500</v>
      </c>
      <c r="N14" s="221">
        <v>370</v>
      </c>
      <c r="O14" s="221">
        <v>185</v>
      </c>
      <c r="P14" s="290"/>
      <c r="Q14" s="344" t="s">
        <v>174</v>
      </c>
      <c r="R14" s="339">
        <v>5</v>
      </c>
      <c r="S14" s="339">
        <v>5</v>
      </c>
      <c r="T14" s="340">
        <v>5</v>
      </c>
      <c r="U14" s="341">
        <f t="shared" si="1"/>
        <v>15</v>
      </c>
    </row>
    <row r="15" spans="1:25" x14ac:dyDescent="0.3">
      <c r="A15" s="290"/>
      <c r="B15" s="298" t="s">
        <v>434</v>
      </c>
      <c r="C15" s="299">
        <v>4958.2225000000017</v>
      </c>
      <c r="D15" s="300">
        <v>5368.2644000000009</v>
      </c>
      <c r="F15" s="290"/>
      <c r="G15" s="290"/>
      <c r="H15" s="290"/>
      <c r="I15" s="290"/>
      <c r="J15" s="290"/>
      <c r="K15" s="223" t="s">
        <v>173</v>
      </c>
      <c r="L15" s="303" t="s">
        <v>435</v>
      </c>
      <c r="M15" s="224">
        <v>2500</v>
      </c>
      <c r="N15" s="224">
        <f>ROUND((((D13)/15)+(((D13)/15)*$Y$4))/5,0)</f>
        <v>14</v>
      </c>
      <c r="O15" s="224">
        <f>ROUND((((D13)/15)+(((D13)/15)*$Y$4))/10,0)</f>
        <v>7</v>
      </c>
      <c r="P15" s="290"/>
      <c r="U15">
        <f>SUM(U12:U14)</f>
        <v>30</v>
      </c>
    </row>
    <row r="16" spans="1:25" x14ac:dyDescent="0.3">
      <c r="A16" s="290"/>
      <c r="B16" s="290"/>
      <c r="C16" s="290"/>
      <c r="D16" s="290"/>
      <c r="E16" s="290"/>
      <c r="F16" s="290"/>
      <c r="G16" s="290"/>
      <c r="H16" s="290"/>
      <c r="I16" s="290"/>
      <c r="J16" s="290"/>
      <c r="K16" s="223" t="s">
        <v>173</v>
      </c>
      <c r="L16" s="303" t="s">
        <v>433</v>
      </c>
      <c r="M16" s="224">
        <v>2500</v>
      </c>
      <c r="N16" s="224">
        <f>ROUND((((D14)/15)+(((D14)/15)*$Y$4))/5,0)</f>
        <v>42</v>
      </c>
      <c r="O16" s="224">
        <f>ROUND((((D14)/15)+(((D14)/15)*$Y$4))/10,0)</f>
        <v>21</v>
      </c>
      <c r="P16" s="290"/>
      <c r="Q16" s="290"/>
      <c r="R16" s="290"/>
      <c r="S16" s="290"/>
      <c r="W16" s="67"/>
      <c r="X16" s="67"/>
    </row>
    <row r="17" spans="1:24" x14ac:dyDescent="0.3">
      <c r="A17" s="290"/>
      <c r="B17" s="290"/>
      <c r="C17" s="290"/>
      <c r="D17" s="290"/>
      <c r="E17" s="290"/>
      <c r="F17" s="290"/>
      <c r="G17" s="290"/>
      <c r="H17" s="290"/>
      <c r="I17" s="290"/>
      <c r="J17" s="290"/>
      <c r="K17" s="223" t="s">
        <v>173</v>
      </c>
      <c r="L17" s="303" t="s">
        <v>434</v>
      </c>
      <c r="M17" s="224">
        <v>2500</v>
      </c>
      <c r="N17" s="224">
        <f>ROUND((((D15)/15)+(((D15)/15)*$Y$4))/5,0)</f>
        <v>92</v>
      </c>
      <c r="O17" s="224">
        <f>ROUND((((D15)/15)+(((D15)/15)*$Y$4))/10,0)</f>
        <v>46</v>
      </c>
      <c r="P17" s="290"/>
      <c r="Q17" s="290"/>
      <c r="R17" s="290"/>
      <c r="S17" s="290"/>
      <c r="W17" s="67"/>
      <c r="X17" s="67"/>
    </row>
    <row r="18" spans="1:24" x14ac:dyDescent="0.3">
      <c r="A18" s="290"/>
      <c r="B18" s="290"/>
      <c r="C18" s="290"/>
      <c r="D18" s="290"/>
      <c r="E18" s="290"/>
      <c r="F18" s="290"/>
      <c r="G18" s="290"/>
      <c r="H18" s="290"/>
      <c r="I18" s="290"/>
      <c r="J18" s="290"/>
      <c r="K18" s="290"/>
      <c r="L18" s="290"/>
      <c r="M18" s="290"/>
      <c r="N18" s="290"/>
      <c r="O18" s="290"/>
      <c r="P18" s="290"/>
      <c r="Q18" s="290"/>
      <c r="R18" s="290"/>
      <c r="S18" s="290"/>
      <c r="W18" s="67"/>
      <c r="X18" s="67"/>
    </row>
    <row r="19" spans="1:24" x14ac:dyDescent="0.3">
      <c r="A19" s="290"/>
      <c r="B19" s="290"/>
      <c r="C19" s="290"/>
      <c r="D19" s="290"/>
      <c r="E19" s="290"/>
      <c r="F19" s="290"/>
      <c r="G19" s="290"/>
      <c r="H19" s="290"/>
      <c r="I19" s="290"/>
      <c r="J19" s="290"/>
      <c r="K19" s="290"/>
      <c r="L19" s="290"/>
      <c r="M19" s="290"/>
      <c r="N19" s="290"/>
      <c r="O19" s="290"/>
      <c r="P19" s="290"/>
      <c r="Q19" s="290"/>
      <c r="R19" s="290"/>
      <c r="S19" s="290"/>
      <c r="W19" s="67"/>
      <c r="X19" s="67"/>
    </row>
    <row r="20" spans="1:24" ht="15.6" x14ac:dyDescent="0.3">
      <c r="A20" s="290"/>
      <c r="B20" s="419" t="s">
        <v>225</v>
      </c>
      <c r="C20" s="420"/>
      <c r="D20" s="420"/>
      <c r="E20" s="420"/>
      <c r="F20" s="420"/>
      <c r="G20" s="420"/>
      <c r="H20" s="420"/>
      <c r="I20" s="311"/>
      <c r="J20" s="318"/>
      <c r="K20" s="423" t="s">
        <v>328</v>
      </c>
      <c r="L20" s="409" t="s">
        <v>438</v>
      </c>
      <c r="M20" s="411" t="s">
        <v>329</v>
      </c>
      <c r="N20" s="413" t="s">
        <v>144</v>
      </c>
      <c r="O20" s="413"/>
      <c r="P20" s="290"/>
      <c r="Q20" s="290" t="s">
        <v>449</v>
      </c>
      <c r="R20" s="290"/>
      <c r="S20" s="290"/>
      <c r="W20" s="67"/>
      <c r="X20" s="67"/>
    </row>
    <row r="21" spans="1:24" x14ac:dyDescent="0.3">
      <c r="A21" s="290"/>
      <c r="B21" s="414" t="s">
        <v>436</v>
      </c>
      <c r="C21" s="416" t="s">
        <v>218</v>
      </c>
      <c r="D21" s="417"/>
      <c r="E21" s="417"/>
      <c r="F21" s="417"/>
      <c r="G21" s="418"/>
      <c r="H21" s="421" t="s">
        <v>219</v>
      </c>
      <c r="I21" s="422"/>
      <c r="J21" s="289"/>
      <c r="K21" s="424"/>
      <c r="L21" s="410"/>
      <c r="M21" s="412"/>
      <c r="N21" s="215" t="s">
        <v>235</v>
      </c>
      <c r="O21" s="215" t="s">
        <v>236</v>
      </c>
      <c r="P21" s="290"/>
      <c r="Q21" s="408" t="s">
        <v>328</v>
      </c>
      <c r="R21" s="407" t="s">
        <v>446</v>
      </c>
      <c r="S21" s="407"/>
      <c r="T21" s="407"/>
      <c r="U21" s="407"/>
      <c r="W21" s="67"/>
      <c r="X21" s="67"/>
    </row>
    <row r="22" spans="1:24" x14ac:dyDescent="0.3">
      <c r="A22" s="290"/>
      <c r="B22" s="415"/>
      <c r="C22" s="312">
        <v>2500</v>
      </c>
      <c r="D22" s="313">
        <v>1500</v>
      </c>
      <c r="E22" s="313">
        <v>1200</v>
      </c>
      <c r="F22" s="313">
        <v>900</v>
      </c>
      <c r="G22" s="313">
        <v>600</v>
      </c>
      <c r="H22" s="314">
        <v>2500</v>
      </c>
      <c r="I22" s="314">
        <v>1200</v>
      </c>
      <c r="J22" s="289"/>
      <c r="K22" s="220" t="s">
        <v>174</v>
      </c>
      <c r="L22" s="302" t="s">
        <v>439</v>
      </c>
      <c r="M22" s="221">
        <v>1500</v>
      </c>
      <c r="N22" s="221">
        <v>43</v>
      </c>
      <c r="O22" s="221">
        <v>22</v>
      </c>
      <c r="P22" s="290"/>
      <c r="Q22" s="408"/>
      <c r="R22" s="343" t="s">
        <v>439</v>
      </c>
      <c r="S22" s="343" t="s">
        <v>440</v>
      </c>
      <c r="T22" s="343" t="s">
        <v>434</v>
      </c>
      <c r="U22" s="342" t="s">
        <v>331</v>
      </c>
      <c r="W22" s="67"/>
      <c r="X22" s="67"/>
    </row>
    <row r="23" spans="1:24" x14ac:dyDescent="0.3">
      <c r="A23" s="290"/>
      <c r="B23" s="315" t="s">
        <v>439</v>
      </c>
      <c r="C23" s="316" t="s">
        <v>437</v>
      </c>
      <c r="D23" s="316">
        <v>854.41</v>
      </c>
      <c r="E23" s="316" t="s">
        <v>437</v>
      </c>
      <c r="F23" s="316">
        <v>5858.02</v>
      </c>
      <c r="G23" s="316" t="s">
        <v>437</v>
      </c>
      <c r="H23" s="316">
        <v>2999.1</v>
      </c>
      <c r="I23" s="317" t="s">
        <v>437</v>
      </c>
      <c r="J23" s="291"/>
      <c r="K23" s="220" t="s">
        <v>174</v>
      </c>
      <c r="L23" s="302" t="s">
        <v>439</v>
      </c>
      <c r="M23" s="221">
        <v>900</v>
      </c>
      <c r="N23" s="221">
        <v>208</v>
      </c>
      <c r="O23" s="221">
        <v>104</v>
      </c>
      <c r="P23" s="290"/>
      <c r="Q23" s="344" t="s">
        <v>172</v>
      </c>
      <c r="R23" s="339">
        <v>0</v>
      </c>
      <c r="S23" s="339">
        <v>0</v>
      </c>
      <c r="T23" s="340">
        <v>0</v>
      </c>
      <c r="U23" s="341">
        <f>SUM(R23:T23)</f>
        <v>0</v>
      </c>
      <c r="W23" s="67"/>
      <c r="X23" s="67"/>
    </row>
    <row r="24" spans="1:24" x14ac:dyDescent="0.3">
      <c r="A24" s="290"/>
      <c r="B24" s="295" t="s">
        <v>440</v>
      </c>
      <c r="C24" s="296" t="s">
        <v>437</v>
      </c>
      <c r="D24" s="296" t="s">
        <v>437</v>
      </c>
      <c r="E24" s="296">
        <v>1047.28</v>
      </c>
      <c r="F24" s="296" t="s">
        <v>437</v>
      </c>
      <c r="G24" s="296" t="s">
        <v>437</v>
      </c>
      <c r="H24" s="296" t="s">
        <v>437</v>
      </c>
      <c r="I24" s="297">
        <v>1028.3399999999999</v>
      </c>
      <c r="J24" s="291"/>
      <c r="K24" s="220" t="s">
        <v>174</v>
      </c>
      <c r="L24" s="302" t="s">
        <v>440</v>
      </c>
      <c r="M24" s="221">
        <v>1200</v>
      </c>
      <c r="N24" s="221">
        <v>42</v>
      </c>
      <c r="O24" s="221">
        <v>21</v>
      </c>
      <c r="P24" s="290"/>
      <c r="Q24" s="344" t="s">
        <v>173</v>
      </c>
      <c r="R24" s="339">
        <v>5</v>
      </c>
      <c r="S24" s="339">
        <v>5</v>
      </c>
      <c r="T24" s="340">
        <v>0</v>
      </c>
      <c r="U24" s="341">
        <f t="shared" ref="U24:U25" si="2">SUM(R24:T24)</f>
        <v>10</v>
      </c>
      <c r="W24" s="67"/>
      <c r="X24" s="67"/>
    </row>
    <row r="25" spans="1:24" x14ac:dyDescent="0.3">
      <c r="A25" s="290"/>
      <c r="B25" s="298" t="s">
        <v>434</v>
      </c>
      <c r="C25" s="299">
        <v>4104.2300000000005</v>
      </c>
      <c r="D25" s="299" t="s">
        <v>437</v>
      </c>
      <c r="E25" s="299" t="s">
        <v>437</v>
      </c>
      <c r="F25" s="299" t="s">
        <v>437</v>
      </c>
      <c r="G25" s="299">
        <v>399.78999999999996</v>
      </c>
      <c r="H25" s="299" t="s">
        <v>437</v>
      </c>
      <c r="I25" s="300" t="s">
        <v>437</v>
      </c>
      <c r="J25" s="291"/>
      <c r="K25" s="220" t="s">
        <v>174</v>
      </c>
      <c r="L25" s="302" t="s">
        <v>434</v>
      </c>
      <c r="M25" s="221">
        <v>2500</v>
      </c>
      <c r="N25" s="221">
        <v>304</v>
      </c>
      <c r="O25" s="221">
        <v>152</v>
      </c>
      <c r="P25" s="290"/>
      <c r="Q25" s="344" t="s">
        <v>174</v>
      </c>
      <c r="R25" s="339">
        <v>10</v>
      </c>
      <c r="S25" s="339">
        <v>5</v>
      </c>
      <c r="T25" s="340">
        <v>10</v>
      </c>
      <c r="U25" s="341">
        <f t="shared" si="2"/>
        <v>25</v>
      </c>
      <c r="W25" s="67"/>
      <c r="X25" s="67"/>
    </row>
    <row r="26" spans="1:24" x14ac:dyDescent="0.3">
      <c r="A26" s="290"/>
      <c r="B26" s="290"/>
      <c r="C26" s="290"/>
      <c r="D26" s="290"/>
      <c r="E26" s="290"/>
      <c r="F26" s="290"/>
      <c r="G26" s="290"/>
      <c r="H26" s="290"/>
      <c r="I26" s="290"/>
      <c r="J26" s="290"/>
      <c r="K26" s="220" t="s">
        <v>174</v>
      </c>
      <c r="L26" s="302" t="s">
        <v>434</v>
      </c>
      <c r="M26" s="221">
        <v>600</v>
      </c>
      <c r="N26" s="221">
        <v>12</v>
      </c>
      <c r="O26" s="221">
        <v>6</v>
      </c>
      <c r="P26" s="290"/>
      <c r="Q26" s="290"/>
      <c r="R26" s="290"/>
      <c r="S26" s="290"/>
      <c r="U26">
        <f>SUM(U23:U25)</f>
        <v>35</v>
      </c>
      <c r="W26" s="67"/>
      <c r="X26" s="67"/>
    </row>
    <row r="27" spans="1:24" x14ac:dyDescent="0.3">
      <c r="A27" s="290"/>
      <c r="B27" s="290"/>
      <c r="C27" s="290"/>
      <c r="D27" s="290"/>
      <c r="E27" s="290"/>
      <c r="F27" s="290"/>
      <c r="G27" s="290"/>
      <c r="H27" s="290"/>
      <c r="I27" s="290"/>
      <c r="J27" s="290"/>
      <c r="K27" s="223" t="s">
        <v>173</v>
      </c>
      <c r="L27" s="303" t="s">
        <v>439</v>
      </c>
      <c r="M27" s="224">
        <v>2500</v>
      </c>
      <c r="N27" s="224">
        <f>ROUND((((H23)/15)+(((H23)/15)*$Y$4))/5,0)</f>
        <v>51</v>
      </c>
      <c r="O27" s="224">
        <f>ROUND((((H23)/15)+(((H23)/15)*$Y$4))/10,0)</f>
        <v>26</v>
      </c>
      <c r="P27" s="290"/>
      <c r="Q27" s="290"/>
      <c r="R27" s="290"/>
      <c r="S27" s="290"/>
      <c r="W27" s="67"/>
      <c r="X27" s="67"/>
    </row>
    <row r="28" spans="1:24" x14ac:dyDescent="0.3">
      <c r="A28" s="290"/>
      <c r="B28" s="290"/>
      <c r="C28" s="290"/>
      <c r="D28" s="290"/>
      <c r="E28" s="290"/>
      <c r="F28" s="290"/>
      <c r="G28" s="290"/>
      <c r="H28" s="290"/>
      <c r="I28" s="290"/>
      <c r="J28" s="290"/>
      <c r="K28" s="223" t="s">
        <v>173</v>
      </c>
      <c r="L28" s="303" t="s">
        <v>440</v>
      </c>
      <c r="M28" s="224">
        <v>1200</v>
      </c>
      <c r="N28" s="224">
        <f>ROUND((((I24)/15)+(((I24)/15)*$Y$4))/5,0)</f>
        <v>18</v>
      </c>
      <c r="O28" s="224">
        <f>ROUND((((I24)/15)+(((I24)/15)*$Y$4))/10,0)</f>
        <v>9</v>
      </c>
      <c r="P28" s="290"/>
      <c r="Q28" s="290"/>
      <c r="R28" s="290"/>
      <c r="S28" s="290"/>
      <c r="W28" s="67"/>
      <c r="X28" s="67"/>
    </row>
    <row r="29" spans="1:24" ht="15" thickBot="1" x14ac:dyDescent="0.35">
      <c r="A29" s="290"/>
      <c r="B29" s="290"/>
      <c r="C29" s="290"/>
      <c r="D29" s="290"/>
      <c r="E29" s="290"/>
      <c r="F29" s="290"/>
      <c r="G29" s="290"/>
      <c r="H29" s="290"/>
      <c r="I29" s="290"/>
      <c r="J29" s="290"/>
      <c r="K29" s="290"/>
      <c r="L29" s="290"/>
      <c r="M29" s="290"/>
      <c r="N29" s="290"/>
      <c r="O29" s="290"/>
      <c r="P29" s="290"/>
      <c r="Q29" s="290"/>
      <c r="R29" s="290"/>
      <c r="S29" s="290"/>
      <c r="W29" s="67"/>
      <c r="X29" s="67"/>
    </row>
    <row r="30" spans="1:24" x14ac:dyDescent="0.3">
      <c r="A30" s="290"/>
      <c r="B30" s="290"/>
      <c r="C30" s="290"/>
      <c r="D30" s="290"/>
      <c r="E30" s="290"/>
      <c r="F30" s="290"/>
      <c r="G30" s="290"/>
      <c r="H30" s="290"/>
      <c r="I30" s="290"/>
      <c r="J30" s="290"/>
      <c r="K30" s="403" t="s">
        <v>441</v>
      </c>
      <c r="L30" s="332" t="s">
        <v>170</v>
      </c>
      <c r="M30" s="405" t="s">
        <v>218</v>
      </c>
      <c r="N30" s="405"/>
      <c r="O30" s="405" t="s">
        <v>219</v>
      </c>
      <c r="P30" s="406"/>
      <c r="Q30" s="335"/>
      <c r="R30" s="337"/>
      <c r="S30" s="338"/>
      <c r="T30" s="338"/>
      <c r="U30" s="290"/>
      <c r="V30" s="290"/>
      <c r="W30" s="67"/>
      <c r="X30" s="67"/>
    </row>
    <row r="31" spans="1:24" x14ac:dyDescent="0.3">
      <c r="A31" s="290"/>
      <c r="B31" s="290"/>
      <c r="C31" s="290"/>
      <c r="D31" s="290"/>
      <c r="E31" s="290"/>
      <c r="F31" s="290"/>
      <c r="G31" s="290"/>
      <c r="H31" s="290"/>
      <c r="I31" s="290"/>
      <c r="J31" s="290"/>
      <c r="K31" s="404"/>
      <c r="L31" s="333" t="s">
        <v>361</v>
      </c>
      <c r="M31" s="333" t="s">
        <v>235</v>
      </c>
      <c r="N31" s="333" t="s">
        <v>236</v>
      </c>
      <c r="O31" s="333" t="s">
        <v>235</v>
      </c>
      <c r="P31" s="334" t="s">
        <v>236</v>
      </c>
      <c r="Q31" s="335"/>
      <c r="R31" s="171" t="s">
        <v>443</v>
      </c>
      <c r="S31" s="171">
        <v>506</v>
      </c>
      <c r="T31" s="336"/>
      <c r="W31" s="67"/>
      <c r="X31" s="67"/>
    </row>
    <row r="32" spans="1:24" x14ac:dyDescent="0.3">
      <c r="C32" s="287"/>
      <c r="D32" s="287"/>
      <c r="K32" s="326" t="s">
        <v>435</v>
      </c>
      <c r="L32" s="327">
        <f>N4</f>
        <v>506</v>
      </c>
      <c r="M32" s="327">
        <f>SUM(N5)</f>
        <v>328</v>
      </c>
      <c r="N32" s="327">
        <f>SUM(O5)</f>
        <v>164</v>
      </c>
      <c r="O32" s="327">
        <v>0</v>
      </c>
      <c r="P32" s="328">
        <v>0</v>
      </c>
      <c r="T32" s="320"/>
      <c r="U32" s="171"/>
      <c r="V32" s="171"/>
      <c r="W32" s="67"/>
      <c r="X32" s="67"/>
    </row>
    <row r="33" spans="11:22" x14ac:dyDescent="0.3">
      <c r="K33" s="326" t="s">
        <v>433</v>
      </c>
      <c r="L33" s="327">
        <v>0</v>
      </c>
      <c r="M33" s="327">
        <f>SUM(N6)</f>
        <v>275</v>
      </c>
      <c r="N33" s="327">
        <f>SUM(O6)</f>
        <v>138</v>
      </c>
      <c r="O33" s="327">
        <v>0</v>
      </c>
      <c r="P33" s="328">
        <v>0</v>
      </c>
      <c r="T33" s="320"/>
    </row>
    <row r="34" spans="11:22" x14ac:dyDescent="0.3">
      <c r="K34" s="326" t="s">
        <v>434</v>
      </c>
      <c r="L34" s="327">
        <v>0</v>
      </c>
      <c r="M34" s="327">
        <f>SUM(N7,N25:N26)</f>
        <v>405</v>
      </c>
      <c r="N34" s="327">
        <f>SUM(O7,O25:O26)</f>
        <v>203</v>
      </c>
      <c r="O34" s="327">
        <f>SUM(N8)</f>
        <v>48</v>
      </c>
      <c r="P34" s="328">
        <f>SUM(O8)</f>
        <v>24</v>
      </c>
      <c r="T34" s="320"/>
    </row>
    <row r="35" spans="11:22" x14ac:dyDescent="0.3">
      <c r="K35" s="326" t="s">
        <v>439</v>
      </c>
      <c r="L35" s="327">
        <v>0</v>
      </c>
      <c r="M35" s="327">
        <f>SUM(N22:N23)</f>
        <v>251</v>
      </c>
      <c r="N35" s="327">
        <f>SUM(O22:O23)</f>
        <v>126</v>
      </c>
      <c r="O35" s="327">
        <f>N27</f>
        <v>51</v>
      </c>
      <c r="P35" s="328">
        <f>O27</f>
        <v>26</v>
      </c>
      <c r="T35" s="320"/>
    </row>
    <row r="36" spans="11:22" ht="15" thickBot="1" x14ac:dyDescent="0.35">
      <c r="K36" s="329" t="s">
        <v>440</v>
      </c>
      <c r="L36" s="330">
        <v>0</v>
      </c>
      <c r="M36" s="330">
        <f>SUM(N24)</f>
        <v>42</v>
      </c>
      <c r="N36" s="330">
        <f>SUM(O24)</f>
        <v>21</v>
      </c>
      <c r="O36" s="330">
        <f>N28</f>
        <v>18</v>
      </c>
      <c r="P36" s="331">
        <f>O28</f>
        <v>9</v>
      </c>
      <c r="T36" s="320"/>
    </row>
    <row r="37" spans="11:22" x14ac:dyDescent="0.3">
      <c r="K37" s="288"/>
      <c r="L37" s="320"/>
      <c r="M37" s="320"/>
      <c r="N37" s="320"/>
      <c r="O37" s="320"/>
      <c r="P37" s="320"/>
      <c r="T37" s="320"/>
    </row>
    <row r="38" spans="11:22" ht="15" thickBot="1" x14ac:dyDescent="0.35">
      <c r="L38" s="319"/>
      <c r="M38" s="319"/>
      <c r="N38" s="319"/>
      <c r="O38" s="319"/>
      <c r="P38" s="319"/>
      <c r="T38" s="320"/>
    </row>
    <row r="39" spans="11:22" x14ac:dyDescent="0.3">
      <c r="K39" s="403" t="s">
        <v>442</v>
      </c>
      <c r="L39" s="332" t="s">
        <v>170</v>
      </c>
      <c r="M39" s="405" t="s">
        <v>218</v>
      </c>
      <c r="N39" s="405"/>
      <c r="O39" s="405" t="s">
        <v>219</v>
      </c>
      <c r="P39" s="406"/>
      <c r="T39" s="338"/>
    </row>
    <row r="40" spans="11:22" x14ac:dyDescent="0.3">
      <c r="K40" s="404"/>
      <c r="L40" s="333" t="s">
        <v>361</v>
      </c>
      <c r="M40" s="333" t="s">
        <v>235</v>
      </c>
      <c r="N40" s="333" t="s">
        <v>236</v>
      </c>
      <c r="O40" s="333" t="s">
        <v>235</v>
      </c>
      <c r="P40" s="334" t="s">
        <v>236</v>
      </c>
      <c r="R40" s="171" t="s">
        <v>444</v>
      </c>
      <c r="S40" s="171">
        <f>M43</f>
        <v>686</v>
      </c>
      <c r="T40" s="336"/>
    </row>
    <row r="41" spans="11:22" x14ac:dyDescent="0.3">
      <c r="K41" s="326" t="s">
        <v>435</v>
      </c>
      <c r="L41" s="327">
        <v>0</v>
      </c>
      <c r="M41" s="327">
        <f>N12</f>
        <v>237</v>
      </c>
      <c r="N41" s="327">
        <f>O12</f>
        <v>119</v>
      </c>
      <c r="O41" s="327">
        <f>N15</f>
        <v>14</v>
      </c>
      <c r="P41" s="328">
        <f>O15</f>
        <v>7</v>
      </c>
      <c r="R41" s="288"/>
      <c r="S41" s="320"/>
      <c r="T41" s="320"/>
      <c r="U41" s="171"/>
      <c r="V41" s="171"/>
    </row>
    <row r="42" spans="11:22" x14ac:dyDescent="0.3">
      <c r="K42" s="326" t="s">
        <v>433</v>
      </c>
      <c r="L42" s="327">
        <v>0</v>
      </c>
      <c r="M42" s="327">
        <f>N13</f>
        <v>215</v>
      </c>
      <c r="N42" s="327">
        <f>O13</f>
        <v>107</v>
      </c>
      <c r="O42" s="327">
        <f t="shared" ref="O42:P42" si="3">N16</f>
        <v>42</v>
      </c>
      <c r="P42" s="328">
        <f t="shared" si="3"/>
        <v>21</v>
      </c>
      <c r="R42" s="288"/>
      <c r="S42" s="320"/>
      <c r="T42" s="320"/>
    </row>
    <row r="43" spans="11:22" x14ac:dyDescent="0.3">
      <c r="K43" s="326" t="s">
        <v>434</v>
      </c>
      <c r="L43" s="327">
        <v>0</v>
      </c>
      <c r="M43" s="327">
        <f>SUM(N14,N25:N26)</f>
        <v>686</v>
      </c>
      <c r="N43" s="327">
        <f>SUM(O14,O25:O26)</f>
        <v>343</v>
      </c>
      <c r="O43" s="327">
        <f t="shared" ref="O43:P43" si="4">N17</f>
        <v>92</v>
      </c>
      <c r="P43" s="328">
        <f t="shared" si="4"/>
        <v>46</v>
      </c>
      <c r="R43" s="288"/>
      <c r="S43" s="320"/>
      <c r="T43" s="320"/>
    </row>
    <row r="44" spans="11:22" x14ac:dyDescent="0.3">
      <c r="K44" s="326" t="s">
        <v>439</v>
      </c>
      <c r="L44" s="327">
        <v>0</v>
      </c>
      <c r="M44" s="327">
        <f>SUM(N22:N23)</f>
        <v>251</v>
      </c>
      <c r="N44" s="327">
        <f>SUM(O22:O23)</f>
        <v>126</v>
      </c>
      <c r="O44" s="327">
        <f>N27</f>
        <v>51</v>
      </c>
      <c r="P44" s="328">
        <f>O27</f>
        <v>26</v>
      </c>
      <c r="R44" s="288"/>
      <c r="S44" s="320"/>
      <c r="T44" s="320"/>
    </row>
    <row r="45" spans="11:22" ht="15" thickBot="1" x14ac:dyDescent="0.35">
      <c r="K45" s="329" t="s">
        <v>440</v>
      </c>
      <c r="L45" s="330">
        <v>0</v>
      </c>
      <c r="M45" s="330">
        <f>N24</f>
        <v>42</v>
      </c>
      <c r="N45" s="330">
        <f>O24</f>
        <v>21</v>
      </c>
      <c r="O45" s="330">
        <f>N28</f>
        <v>18</v>
      </c>
      <c r="P45" s="331">
        <f>O28</f>
        <v>9</v>
      </c>
      <c r="R45" s="288"/>
      <c r="S45" s="320"/>
      <c r="T45" s="320"/>
    </row>
  </sheetData>
  <mergeCells count="34">
    <mergeCell ref="N10:O10"/>
    <mergeCell ref="K9:M9"/>
    <mergeCell ref="L2:L3"/>
    <mergeCell ref="B11:B12"/>
    <mergeCell ref="K10:K11"/>
    <mergeCell ref="L10:L11"/>
    <mergeCell ref="M10:M11"/>
    <mergeCell ref="K2:K3"/>
    <mergeCell ref="M2:M3"/>
    <mergeCell ref="C3:D3"/>
    <mergeCell ref="E3:F3"/>
    <mergeCell ref="B3:B4"/>
    <mergeCell ref="B2:G2"/>
    <mergeCell ref="B21:B22"/>
    <mergeCell ref="C21:G21"/>
    <mergeCell ref="B20:H20"/>
    <mergeCell ref="H21:I21"/>
    <mergeCell ref="K20:K21"/>
    <mergeCell ref="K30:K31"/>
    <mergeCell ref="K39:K40"/>
    <mergeCell ref="M39:N39"/>
    <mergeCell ref="O39:P39"/>
    <mergeCell ref="R2:U2"/>
    <mergeCell ref="Q2:Q3"/>
    <mergeCell ref="Q10:Q11"/>
    <mergeCell ref="R10:U10"/>
    <mergeCell ref="Q21:Q22"/>
    <mergeCell ref="R21:U21"/>
    <mergeCell ref="L20:L21"/>
    <mergeCell ref="M20:M21"/>
    <mergeCell ref="N20:O20"/>
    <mergeCell ref="M30:N30"/>
    <mergeCell ref="O30:P30"/>
    <mergeCell ref="N2:O2"/>
  </mergeCells>
  <conditionalFormatting sqref="N9:O9">
    <cfRule type="cellIs" dxfId="12" priority="11" operator="lessThan">
      <formula>#REF!</formula>
    </cfRule>
    <cfRule type="cellIs" dxfId="11" priority="12" operator="greaterThan">
      <formula>#REF!</formula>
    </cfRule>
  </conditionalFormatting>
  <conditionalFormatting sqref="K32:K37">
    <cfRule type="duplicateValues" dxfId="10" priority="10"/>
  </conditionalFormatting>
  <conditionalFormatting sqref="K41:K45">
    <cfRule type="duplicateValues" dxfId="9" priority="9"/>
  </conditionalFormatting>
  <conditionalFormatting sqref="M41:P45 M32:P37">
    <cfRule type="cellIs" dxfId="8" priority="8" operator="greaterThan">
      <formula>525</formula>
    </cfRule>
  </conditionalFormatting>
  <conditionalFormatting sqref="L33">
    <cfRule type="cellIs" dxfId="7" priority="7" operator="greaterThan">
      <formula>525</formula>
    </cfRule>
  </conditionalFormatting>
  <conditionalFormatting sqref="L34:L37">
    <cfRule type="cellIs" dxfId="6" priority="6" operator="greaterThan">
      <formula>525</formula>
    </cfRule>
  </conditionalFormatting>
  <conditionalFormatting sqref="L41:L45">
    <cfRule type="cellIs" dxfId="5" priority="5" operator="greaterThan">
      <formula>525</formula>
    </cfRule>
  </conditionalFormatting>
  <conditionalFormatting sqref="L41:L45 L32:L37">
    <cfRule type="cellIs" dxfId="4" priority="4" operator="greaterThan">
      <formula>525</formula>
    </cfRule>
  </conditionalFormatting>
  <conditionalFormatting sqref="R41:R45">
    <cfRule type="duplicateValues" dxfId="3" priority="2"/>
  </conditionalFormatting>
  <conditionalFormatting sqref="S41:T45 T32:T36">
    <cfRule type="cellIs" dxfId="2" priority="1" operator="greaterThan">
      <formula>525</formula>
    </cfRule>
  </conditionalFormatting>
  <pageMargins left="0.7" right="0.7" top="0.75" bottom="0.75" header="0.3" footer="0.3"/>
  <pageSetup scale="37" orientation="portrait" r:id="rId1"/>
  <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81977B-F558-42FA-94F1-60E9E95C21DA}">
  <sheetPr>
    <tabColor theme="8" tint="0.39997558519241921"/>
  </sheetPr>
  <dimension ref="A1:U48"/>
  <sheetViews>
    <sheetView view="pageBreakPreview" zoomScaleNormal="130" zoomScaleSheetLayoutView="100" workbookViewId="0">
      <selection activeCell="F1" sqref="F1:I18"/>
    </sheetView>
  </sheetViews>
  <sheetFormatPr defaultRowHeight="14.4" x14ac:dyDescent="0.3"/>
  <cols>
    <col min="1" max="1" width="9.5546875" customWidth="1"/>
    <col min="2" max="2" width="10.21875" customWidth="1"/>
    <col min="3" max="3" width="12.109375" customWidth="1"/>
    <col min="4" max="4" width="10.33203125" customWidth="1"/>
    <col min="5" max="5" width="15.77734375" customWidth="1"/>
    <col min="6" max="6" width="13.77734375" customWidth="1"/>
    <col min="8" max="15" width="9.77734375" customWidth="1"/>
  </cols>
  <sheetData>
    <row r="1" spans="1:21" x14ac:dyDescent="0.3">
      <c r="A1" s="242" t="s">
        <v>332</v>
      </c>
      <c r="B1" s="243"/>
      <c r="C1" s="243"/>
      <c r="D1" s="243"/>
      <c r="E1" s="67"/>
      <c r="F1" s="423" t="s">
        <v>328</v>
      </c>
      <c r="G1" s="411" t="s">
        <v>329</v>
      </c>
      <c r="H1" s="413" t="s">
        <v>139</v>
      </c>
      <c r="I1" s="413"/>
      <c r="J1" s="413" t="s">
        <v>140</v>
      </c>
      <c r="K1" s="413"/>
      <c r="L1" s="413" t="s">
        <v>141</v>
      </c>
      <c r="M1" s="413"/>
      <c r="N1" s="413" t="s">
        <v>142</v>
      </c>
      <c r="O1" s="431"/>
      <c r="P1" s="67"/>
      <c r="Q1" s="67"/>
      <c r="R1" s="67"/>
      <c r="S1" s="67"/>
      <c r="T1" s="67"/>
    </row>
    <row r="2" spans="1:21" x14ac:dyDescent="0.3">
      <c r="A2" s="240" t="s">
        <v>204</v>
      </c>
      <c r="B2" s="244" t="s">
        <v>329</v>
      </c>
      <c r="C2" s="244" t="s">
        <v>328</v>
      </c>
      <c r="D2" s="244" t="s">
        <v>330</v>
      </c>
      <c r="E2" s="67"/>
      <c r="F2" s="424"/>
      <c r="G2" s="412"/>
      <c r="H2" s="215" t="s">
        <v>235</v>
      </c>
      <c r="I2" s="215" t="s">
        <v>236</v>
      </c>
      <c r="J2" s="215" t="s">
        <v>235</v>
      </c>
      <c r="K2" s="215" t="s">
        <v>236</v>
      </c>
      <c r="L2" s="215" t="s">
        <v>235</v>
      </c>
      <c r="M2" s="215" t="s">
        <v>236</v>
      </c>
      <c r="N2" s="215" t="s">
        <v>235</v>
      </c>
      <c r="O2" s="216" t="s">
        <v>236</v>
      </c>
      <c r="P2" s="67"/>
      <c r="Q2" s="231" t="s">
        <v>338</v>
      </c>
      <c r="R2" s="67"/>
      <c r="S2" s="67"/>
      <c r="T2" s="67"/>
      <c r="U2" s="171"/>
    </row>
    <row r="3" spans="1:21" x14ac:dyDescent="0.3">
      <c r="A3" s="259" t="s">
        <v>139</v>
      </c>
      <c r="B3" s="260">
        <v>3500</v>
      </c>
      <c r="C3" s="260" t="s">
        <v>174</v>
      </c>
      <c r="D3" s="260">
        <v>5760.5825000000004</v>
      </c>
      <c r="E3" s="67"/>
      <c r="F3" s="217" t="s">
        <v>172</v>
      </c>
      <c r="G3" s="218">
        <v>3500</v>
      </c>
      <c r="H3" s="218">
        <f>ROUND((((SUMIFS($D:$D,$C:$C,$F3,$B:$B,$G3,$A:$A,$H$1))/15)+(((SUMIFS($D:$D,$C:$C,$F3,$B:$B,$G3,$A:$A,$H$1)*($Q$4)))/15))/1,0)</f>
        <v>506</v>
      </c>
      <c r="I3" s="218">
        <f>ROUND((((SUMIFS($D:$D,$C:$C,$F3,$B:$B,$G3,$A:$A,$H$1))/15)+(((SUMIFS($D:$D,$C:$C,$F3,$B:$B,$G3,$A:$A,$H$1)*($Q$4)))/15))/1,0)</f>
        <v>506</v>
      </c>
      <c r="J3" s="218">
        <f>ROUND((((SUMIFS($D:$D,$C:$C,$F3,$B:$B,$G3,$A:$A,$J$1))/12)+(((SUMIFS($D:$D,$C:$C,$F3,$B:$B,$G3,$A:$A,$J$1)*($Q$4)))/12))/1,0)</f>
        <v>0</v>
      </c>
      <c r="K3" s="218">
        <f>ROUND((((SUMIFS($D:$D,$C:$C,$F3,$B:$B,$G3,$A:$A,$J$1))/12)+(((SUMIFS($D:$D,$C:$C,$F3,$B:$B,$G3,$A:$A,$J$1)*($Q$4)))/12))/1,0)</f>
        <v>0</v>
      </c>
      <c r="L3" s="218">
        <f>ROUND((((SUMIFS($D:$D,$C:$C,$F3,$B:$B,$G3,$A:$A,$L$1))/12)+(((SUMIFS($D:$D,$C:$C,$F3,$B:$B,$G3,$A:$A,$L$1)*($Q$4)))/12))/1,0)</f>
        <v>0</v>
      </c>
      <c r="M3" s="218">
        <f>ROUND((((SUMIFS($D:$D,$C:$C,$F3,$B:$B,$G3,$A:$A,$L$1))/12)+(((SUMIFS($D:$D,$C:$C,$F3,$B:$B,$G3,$A:$A,$L$1)*($Q$4)))/12))/1,0)</f>
        <v>0</v>
      </c>
      <c r="N3" s="218">
        <f>ROUND((((SUMIFS($D:$D,$C:$C,$F3,$B:$B,$G3,$A:$A,$N$1))/12)+(((SUMIFS($D:$D,$C:$C,$F3,$B:$B,$G3,$A:$A,$N$1)*($Q$4)))/1))/5,0)</f>
        <v>0</v>
      </c>
      <c r="O3" s="219">
        <f>ROUND((((SUMIFS($D:$D,$C:$C,$F3,$B:$B,$G3,$A:$A,$N$1))/12)+(((SUMIFS($D:$D,$C:$C,$F3,$B:$B,$G3,$A:$A,$N$1)*($Q$4)))/12))/1,0)</f>
        <v>0</v>
      </c>
      <c r="P3" s="67"/>
      <c r="Q3" s="247" t="s">
        <v>333</v>
      </c>
      <c r="R3" s="67"/>
      <c r="S3" s="67"/>
      <c r="T3" s="67"/>
    </row>
    <row r="4" spans="1:21" x14ac:dyDescent="0.3">
      <c r="A4" s="243" t="s">
        <v>139</v>
      </c>
      <c r="B4" s="245">
        <v>3500</v>
      </c>
      <c r="C4" s="245" t="s">
        <v>172</v>
      </c>
      <c r="D4" s="245">
        <v>5913.7100000000009</v>
      </c>
      <c r="E4" s="67"/>
      <c r="F4" s="220" t="s">
        <v>174</v>
      </c>
      <c r="G4" s="221">
        <v>3500</v>
      </c>
      <c r="H4" s="221">
        <v>614</v>
      </c>
      <c r="I4" s="221">
        <v>307</v>
      </c>
      <c r="J4" s="221">
        <v>0</v>
      </c>
      <c r="K4" s="221">
        <v>0</v>
      </c>
      <c r="L4" s="221">
        <v>0</v>
      </c>
      <c r="M4" s="221">
        <v>0</v>
      </c>
      <c r="N4" s="221">
        <v>0</v>
      </c>
      <c r="O4" s="222">
        <v>0</v>
      </c>
      <c r="P4" s="67"/>
      <c r="Q4" s="249">
        <f>(365-262)/365</f>
        <v>0.28219178082191781</v>
      </c>
      <c r="R4" s="67"/>
      <c r="S4" s="67"/>
      <c r="T4" s="67"/>
    </row>
    <row r="5" spans="1:21" x14ac:dyDescent="0.3">
      <c r="A5" s="259" t="s">
        <v>139</v>
      </c>
      <c r="B5" s="260">
        <v>2500</v>
      </c>
      <c r="C5" s="260" t="s">
        <v>174</v>
      </c>
      <c r="D5" s="260">
        <v>1213.3199999999997</v>
      </c>
      <c r="E5" s="67"/>
      <c r="F5" s="220" t="s">
        <v>174</v>
      </c>
      <c r="G5" s="221">
        <v>2500</v>
      </c>
      <c r="H5" s="221">
        <v>89</v>
      </c>
      <c r="I5" s="221">
        <v>45</v>
      </c>
      <c r="J5" s="221">
        <v>778</v>
      </c>
      <c r="K5" s="221">
        <v>389</v>
      </c>
      <c r="L5" s="221">
        <v>822</v>
      </c>
      <c r="M5" s="221">
        <v>411</v>
      </c>
      <c r="N5" s="221">
        <v>1103</v>
      </c>
      <c r="O5" s="222">
        <v>552</v>
      </c>
      <c r="P5" s="67"/>
      <c r="Q5" s="250"/>
      <c r="R5" s="67"/>
      <c r="S5" s="67"/>
      <c r="T5" s="67"/>
    </row>
    <row r="6" spans="1:21" x14ac:dyDescent="0.3">
      <c r="A6" s="243" t="s">
        <v>139</v>
      </c>
      <c r="B6" s="245">
        <v>2500</v>
      </c>
      <c r="C6" s="245" t="s">
        <v>173</v>
      </c>
      <c r="D6" s="245">
        <v>2818.31</v>
      </c>
      <c r="E6" s="67"/>
      <c r="F6" s="220" t="s">
        <v>174</v>
      </c>
      <c r="G6" s="221">
        <v>1800</v>
      </c>
      <c r="H6" s="221">
        <v>0</v>
      </c>
      <c r="I6" s="221">
        <v>0</v>
      </c>
      <c r="J6" s="221">
        <v>0</v>
      </c>
      <c r="K6" s="221">
        <v>0</v>
      </c>
      <c r="L6" s="221">
        <v>0</v>
      </c>
      <c r="M6" s="221">
        <v>0</v>
      </c>
      <c r="N6" s="221">
        <v>0</v>
      </c>
      <c r="O6" s="222">
        <v>0</v>
      </c>
      <c r="P6" s="67"/>
      <c r="Q6" s="247" t="s">
        <v>334</v>
      </c>
      <c r="R6" s="248"/>
      <c r="S6" s="67"/>
      <c r="T6" s="67"/>
    </row>
    <row r="7" spans="1:21" x14ac:dyDescent="0.3">
      <c r="A7" s="243"/>
      <c r="B7" s="244" t="s">
        <v>331</v>
      </c>
      <c r="C7" s="244"/>
      <c r="D7" s="244">
        <v>15705.922500000001</v>
      </c>
      <c r="E7" s="229"/>
      <c r="F7" s="220" t="s">
        <v>174</v>
      </c>
      <c r="G7" s="221">
        <v>1500</v>
      </c>
      <c r="H7" s="221">
        <v>0</v>
      </c>
      <c r="I7" s="221">
        <v>0</v>
      </c>
      <c r="J7" s="221">
        <v>0</v>
      </c>
      <c r="K7" s="221">
        <v>0</v>
      </c>
      <c r="L7" s="221">
        <v>0</v>
      </c>
      <c r="M7" s="221">
        <v>0</v>
      </c>
      <c r="N7" s="221">
        <v>0</v>
      </c>
      <c r="O7" s="222">
        <v>0</v>
      </c>
      <c r="P7" s="67"/>
      <c r="Q7" s="249" t="s">
        <v>335</v>
      </c>
      <c r="R7" s="248" t="s">
        <v>356</v>
      </c>
      <c r="S7" s="67"/>
      <c r="T7" s="67"/>
    </row>
    <row r="8" spans="1:21" x14ac:dyDescent="0.3">
      <c r="A8" s="243"/>
      <c r="B8" s="243"/>
      <c r="C8" s="243"/>
      <c r="D8" s="243"/>
      <c r="E8" s="67"/>
      <c r="F8" s="220" t="s">
        <v>174</v>
      </c>
      <c r="G8" s="221">
        <v>1200</v>
      </c>
      <c r="H8" s="221">
        <v>0</v>
      </c>
      <c r="I8" s="221">
        <v>0</v>
      </c>
      <c r="J8" s="221">
        <v>0</v>
      </c>
      <c r="K8" s="221">
        <v>0</v>
      </c>
      <c r="L8" s="221">
        <v>0</v>
      </c>
      <c r="M8" s="221">
        <v>0</v>
      </c>
      <c r="N8" s="221">
        <v>0</v>
      </c>
      <c r="O8" s="222">
        <v>0</v>
      </c>
      <c r="P8" s="67"/>
      <c r="Q8" s="250"/>
      <c r="R8" s="248"/>
      <c r="S8" s="67"/>
      <c r="T8" s="67"/>
    </row>
    <row r="9" spans="1:21" x14ac:dyDescent="0.3">
      <c r="A9" s="243"/>
      <c r="B9" s="243"/>
      <c r="C9" s="243"/>
      <c r="D9" s="243"/>
      <c r="E9" s="67"/>
      <c r="F9" s="220" t="s">
        <v>174</v>
      </c>
      <c r="G9" s="221">
        <v>900</v>
      </c>
      <c r="H9" s="221">
        <v>0</v>
      </c>
      <c r="I9" s="221">
        <v>0</v>
      </c>
      <c r="J9" s="221">
        <v>0</v>
      </c>
      <c r="K9" s="221">
        <v>0</v>
      </c>
      <c r="L9" s="221">
        <v>0</v>
      </c>
      <c r="M9" s="221">
        <v>0</v>
      </c>
      <c r="N9" s="221">
        <v>0</v>
      </c>
      <c r="O9" s="222">
        <v>0</v>
      </c>
      <c r="P9" s="67"/>
      <c r="Q9" s="247" t="s">
        <v>336</v>
      </c>
      <c r="R9" s="248"/>
      <c r="S9" s="67"/>
      <c r="T9" s="67"/>
    </row>
    <row r="10" spans="1:21" x14ac:dyDescent="0.3">
      <c r="A10" s="240" t="s">
        <v>204</v>
      </c>
      <c r="B10" s="240" t="s">
        <v>329</v>
      </c>
      <c r="C10" s="240" t="s">
        <v>328</v>
      </c>
      <c r="D10" s="240" t="s">
        <v>330</v>
      </c>
      <c r="E10" s="67"/>
      <c r="F10" s="220" t="s">
        <v>174</v>
      </c>
      <c r="G10" s="221">
        <v>600</v>
      </c>
      <c r="H10" s="221">
        <v>0</v>
      </c>
      <c r="I10" s="221">
        <v>0</v>
      </c>
      <c r="J10" s="221">
        <v>0</v>
      </c>
      <c r="K10" s="221">
        <v>0</v>
      </c>
      <c r="L10" s="221">
        <v>0</v>
      </c>
      <c r="M10" s="221">
        <v>0</v>
      </c>
      <c r="N10" s="221">
        <v>0</v>
      </c>
      <c r="O10" s="222">
        <v>0</v>
      </c>
      <c r="P10" s="67"/>
      <c r="Q10" s="249" t="s">
        <v>337</v>
      </c>
      <c r="R10" s="256" t="s">
        <v>357</v>
      </c>
      <c r="S10" s="67"/>
      <c r="T10" s="67"/>
    </row>
    <row r="11" spans="1:21" x14ac:dyDescent="0.3">
      <c r="A11" s="259" t="s">
        <v>140</v>
      </c>
      <c r="B11" s="259">
        <v>2500</v>
      </c>
      <c r="C11" s="259" t="s">
        <v>174</v>
      </c>
      <c r="D11" s="259">
        <v>10547.540300000002</v>
      </c>
      <c r="E11" s="67"/>
      <c r="F11" s="223" t="s">
        <v>173</v>
      </c>
      <c r="G11" s="224">
        <v>3500</v>
      </c>
      <c r="H11" s="224">
        <f t="shared" ref="H11:H17" si="0">ROUND((((SUMIFS($D:$D,$C:$C,$F11,$B:$B,$G11,$A:$A,$H$1))/8)+(((SUMIFS($D:$D,$C:$C,$F11,$B:$B,$G11,$A:$A,$H$1)*($Q$4)))/8))/5,0)</f>
        <v>0</v>
      </c>
      <c r="I11" s="224">
        <f t="shared" ref="I11:I17" si="1">ROUND((((SUMIFS($D:$D,$C:$C,$F11,$B:$B,$G11,$A:$A,$H$1))/8)+(((SUMIFS($D:$D,$C:$C,$F11,$B:$B,$G11,$A:$A,$H$1)*($Q$4)))/8))/10,0)</f>
        <v>0</v>
      </c>
      <c r="J11" s="224">
        <f t="shared" ref="J11:J17" si="2">ROUND((((SUMIFS($D:$D,$C:$C,$F11,$B:$B,$G11,$A:$A,$J$1))/8)+(((SUMIFS($D:$D,$C:$C,$F11,$B:$B,$G11,$A:$A,$J$1)*($Q$4)))/8))/5,0)</f>
        <v>0</v>
      </c>
      <c r="K11" s="224">
        <f t="shared" ref="K11:K17" si="3">ROUND((((SUMIFS($D:$D,$C:$C,$F11,$B:$B,$G11,$A:$A,$J$1))/8)+(((SUMIFS($D:$D,$C:$C,$F11,$B:$B,$G11,$A:$A,$J$1)*($Q$4)))/8))/10,0)</f>
        <v>0</v>
      </c>
      <c r="L11" s="224">
        <f t="shared" ref="L11:L17" si="4">ROUND((((SUMIFS($D:$D,$C:$C,$F11,$B:$B,$G11,$A:$A,$L$1))/8)+(((SUMIFS($D:$D,$C:$C,$F11,$B:$B,$G11,$A:$A,$L$1)*($Q$4)))/8))/5,0)</f>
        <v>0</v>
      </c>
      <c r="M11" s="224">
        <f t="shared" ref="M11:M17" si="5">ROUND((((SUMIFS($D:$D,$C:$C,$F11,$B:$B,$G11,$A:$A,$L$1))/8)+(((SUMIFS($D:$D,$C:$C,$F11,$B:$B,$G11,$A:$A,$L$1)*($Q$4)))/8))/10,0)</f>
        <v>0</v>
      </c>
      <c r="N11" s="224">
        <f t="shared" ref="N11:N17" si="6">ROUND((((SUMIFS($D:$D,$C:$C,$F11,$B:$B,$G11,$A:$A,$N$1))/8)+(((SUMIFS($D:$D,$C:$C,$F11,$B:$B,$G11,$A:$A,$N$1)*($Q$4)))/8))/5,0)</f>
        <v>0</v>
      </c>
      <c r="O11" s="225">
        <f t="shared" ref="O11:O17" si="7">ROUND((((SUMIFS($D:$D,$C:$C,$F11,$B:$B,$G11,$A:$A,$N$1))/8)+(((SUMIFS($D:$D,$C:$C,$F11,$B:$B,$G11,$A:$A,$N$1)*($Q$4)))/8))/10,0)</f>
        <v>0</v>
      </c>
      <c r="P11" s="67"/>
      <c r="Q11" s="250"/>
      <c r="R11" s="248"/>
      <c r="S11" s="67"/>
      <c r="T11" s="67"/>
    </row>
    <row r="12" spans="1:21" x14ac:dyDescent="0.3">
      <c r="A12" s="243" t="s">
        <v>140</v>
      </c>
      <c r="B12" s="243">
        <v>2500</v>
      </c>
      <c r="C12" s="243" t="s">
        <v>173</v>
      </c>
      <c r="D12" s="243">
        <v>9772.854400000002</v>
      </c>
      <c r="E12" s="67"/>
      <c r="F12" s="223" t="s">
        <v>173</v>
      </c>
      <c r="G12" s="224">
        <v>2500</v>
      </c>
      <c r="H12" s="224">
        <f t="shared" si="0"/>
        <v>90</v>
      </c>
      <c r="I12" s="224">
        <f t="shared" si="1"/>
        <v>45</v>
      </c>
      <c r="J12" s="224">
        <f t="shared" si="2"/>
        <v>313</v>
      </c>
      <c r="K12" s="224">
        <f t="shared" si="3"/>
        <v>157</v>
      </c>
      <c r="L12" s="224">
        <f t="shared" si="4"/>
        <v>277</v>
      </c>
      <c r="M12" s="224">
        <f t="shared" si="5"/>
        <v>138</v>
      </c>
      <c r="N12" s="224">
        <f t="shared" si="6"/>
        <v>165</v>
      </c>
      <c r="O12" s="225">
        <f t="shared" si="7"/>
        <v>83</v>
      </c>
      <c r="P12" s="67"/>
      <c r="Q12" s="247" t="s">
        <v>340</v>
      </c>
      <c r="R12" s="248"/>
      <c r="S12" s="67"/>
      <c r="T12" s="67"/>
    </row>
    <row r="13" spans="1:21" x14ac:dyDescent="0.3">
      <c r="A13" s="243"/>
      <c r="B13" s="240" t="s">
        <v>331</v>
      </c>
      <c r="C13" s="240"/>
      <c r="D13" s="240">
        <v>20320.394700000004</v>
      </c>
      <c r="E13" s="67"/>
      <c r="F13" s="223" t="s">
        <v>173</v>
      </c>
      <c r="G13" s="224">
        <v>1800</v>
      </c>
      <c r="H13" s="224">
        <f t="shared" si="0"/>
        <v>0</v>
      </c>
      <c r="I13" s="224">
        <f t="shared" si="1"/>
        <v>0</v>
      </c>
      <c r="J13" s="224">
        <f t="shared" si="2"/>
        <v>0</v>
      </c>
      <c r="K13" s="224">
        <f t="shared" si="3"/>
        <v>0</v>
      </c>
      <c r="L13" s="224">
        <f t="shared" si="4"/>
        <v>0</v>
      </c>
      <c r="M13" s="224">
        <f t="shared" si="5"/>
        <v>0</v>
      </c>
      <c r="N13" s="224">
        <f t="shared" si="6"/>
        <v>0</v>
      </c>
      <c r="O13" s="225">
        <f t="shared" si="7"/>
        <v>0</v>
      </c>
      <c r="P13" s="67"/>
      <c r="Q13" s="249" t="s">
        <v>341</v>
      </c>
      <c r="R13" s="248"/>
      <c r="S13" s="67"/>
      <c r="T13" s="67"/>
    </row>
    <row r="14" spans="1:21" x14ac:dyDescent="0.3">
      <c r="A14" s="243"/>
      <c r="B14" s="243"/>
      <c r="C14" s="243"/>
      <c r="D14" s="243"/>
      <c r="E14" s="67"/>
      <c r="F14" s="223" t="s">
        <v>173</v>
      </c>
      <c r="G14" s="224">
        <v>1500</v>
      </c>
      <c r="H14" s="224">
        <f t="shared" si="0"/>
        <v>0</v>
      </c>
      <c r="I14" s="224">
        <f t="shared" si="1"/>
        <v>0</v>
      </c>
      <c r="J14" s="224">
        <f t="shared" si="2"/>
        <v>0</v>
      </c>
      <c r="K14" s="224">
        <f t="shared" si="3"/>
        <v>0</v>
      </c>
      <c r="L14" s="224">
        <f t="shared" si="4"/>
        <v>0</v>
      </c>
      <c r="M14" s="224">
        <f t="shared" si="5"/>
        <v>0</v>
      </c>
      <c r="N14" s="224">
        <f t="shared" si="6"/>
        <v>0</v>
      </c>
      <c r="O14" s="225">
        <f t="shared" si="7"/>
        <v>0</v>
      </c>
      <c r="P14" s="67"/>
      <c r="Q14" s="249" t="s">
        <v>342</v>
      </c>
      <c r="R14" s="248"/>
      <c r="S14" s="67"/>
      <c r="T14" s="67"/>
    </row>
    <row r="15" spans="1:21" x14ac:dyDescent="0.3">
      <c r="A15" s="240" t="s">
        <v>204</v>
      </c>
      <c r="B15" s="240" t="s">
        <v>329</v>
      </c>
      <c r="C15" s="240" t="s">
        <v>328</v>
      </c>
      <c r="D15" s="240" t="s">
        <v>330</v>
      </c>
      <c r="E15" s="67"/>
      <c r="F15" s="223" t="s">
        <v>173</v>
      </c>
      <c r="G15" s="224">
        <v>1200</v>
      </c>
      <c r="H15" s="224">
        <f t="shared" si="0"/>
        <v>0</v>
      </c>
      <c r="I15" s="224">
        <f t="shared" si="1"/>
        <v>0</v>
      </c>
      <c r="J15" s="224">
        <f t="shared" si="2"/>
        <v>0</v>
      </c>
      <c r="K15" s="224">
        <f t="shared" si="3"/>
        <v>0</v>
      </c>
      <c r="L15" s="224">
        <f t="shared" si="4"/>
        <v>0</v>
      </c>
      <c r="M15" s="224">
        <f t="shared" si="5"/>
        <v>0</v>
      </c>
      <c r="N15" s="224">
        <f t="shared" si="6"/>
        <v>0</v>
      </c>
      <c r="O15" s="225">
        <f t="shared" si="7"/>
        <v>0</v>
      </c>
      <c r="P15" s="67"/>
      <c r="Q15" s="248"/>
      <c r="R15" s="67"/>
      <c r="S15" s="67"/>
      <c r="T15" s="67"/>
    </row>
    <row r="16" spans="1:21" x14ac:dyDescent="0.3">
      <c r="A16" s="259" t="s">
        <v>141</v>
      </c>
      <c r="B16" s="259">
        <v>2500</v>
      </c>
      <c r="C16" s="259" t="s">
        <v>174</v>
      </c>
      <c r="D16" s="259">
        <v>11066.832499999999</v>
      </c>
      <c r="E16" s="67"/>
      <c r="F16" s="223" t="s">
        <v>173</v>
      </c>
      <c r="G16" s="224">
        <v>900</v>
      </c>
      <c r="H16" s="224">
        <f t="shared" si="0"/>
        <v>0</v>
      </c>
      <c r="I16" s="224">
        <f t="shared" si="1"/>
        <v>0</v>
      </c>
      <c r="J16" s="224">
        <f t="shared" si="2"/>
        <v>0</v>
      </c>
      <c r="K16" s="224">
        <f t="shared" si="3"/>
        <v>0</v>
      </c>
      <c r="L16" s="224">
        <f t="shared" si="4"/>
        <v>0</v>
      </c>
      <c r="M16" s="224">
        <f t="shared" si="5"/>
        <v>0</v>
      </c>
      <c r="N16" s="224">
        <f t="shared" si="6"/>
        <v>0</v>
      </c>
      <c r="O16" s="225">
        <f t="shared" si="7"/>
        <v>0</v>
      </c>
      <c r="P16" s="67"/>
      <c r="Q16" s="240" t="s">
        <v>348</v>
      </c>
      <c r="R16" s="67"/>
      <c r="S16" s="67"/>
      <c r="T16" s="67"/>
    </row>
    <row r="17" spans="1:20" x14ac:dyDescent="0.3">
      <c r="A17" s="243" t="s">
        <v>141</v>
      </c>
      <c r="B17" s="243">
        <v>2500</v>
      </c>
      <c r="C17" s="243" t="s">
        <v>173</v>
      </c>
      <c r="D17" s="243">
        <v>8638.7444000000032</v>
      </c>
      <c r="E17" s="67"/>
      <c r="F17" s="226" t="s">
        <v>173</v>
      </c>
      <c r="G17" s="227">
        <v>600</v>
      </c>
      <c r="H17" s="224">
        <f t="shared" si="0"/>
        <v>0</v>
      </c>
      <c r="I17" s="224">
        <f t="shared" si="1"/>
        <v>0</v>
      </c>
      <c r="J17" s="224">
        <f t="shared" si="2"/>
        <v>0</v>
      </c>
      <c r="K17" s="224">
        <f t="shared" si="3"/>
        <v>0</v>
      </c>
      <c r="L17" s="224">
        <f t="shared" si="4"/>
        <v>0</v>
      </c>
      <c r="M17" s="224">
        <f t="shared" si="5"/>
        <v>0</v>
      </c>
      <c r="N17" s="224">
        <f t="shared" si="6"/>
        <v>0</v>
      </c>
      <c r="O17" s="225">
        <f t="shared" si="7"/>
        <v>0</v>
      </c>
      <c r="P17" s="67"/>
      <c r="Q17" s="241">
        <f>(2025-2023)*(365-103)</f>
        <v>524</v>
      </c>
      <c r="R17" s="67"/>
      <c r="S17" s="67"/>
      <c r="T17" s="67"/>
    </row>
    <row r="18" spans="1:20" x14ac:dyDescent="0.3">
      <c r="A18" s="243"/>
      <c r="B18" s="240" t="s">
        <v>331</v>
      </c>
      <c r="C18" s="240"/>
      <c r="D18" s="240">
        <v>19705.5769</v>
      </c>
      <c r="E18" s="229"/>
      <c r="F18" s="429" t="s">
        <v>331</v>
      </c>
      <c r="G18" s="430"/>
      <c r="H18" s="228">
        <f>SUM(H3:H17)</f>
        <v>1299</v>
      </c>
      <c r="I18" s="228">
        <f t="shared" ref="I18:O18" si="8">SUM(I3:I17)</f>
        <v>903</v>
      </c>
      <c r="J18" s="228">
        <f t="shared" si="8"/>
        <v>1091</v>
      </c>
      <c r="K18" s="228">
        <f t="shared" si="8"/>
        <v>546</v>
      </c>
      <c r="L18" s="228">
        <f t="shared" si="8"/>
        <v>1099</v>
      </c>
      <c r="M18" s="228">
        <f t="shared" si="8"/>
        <v>549</v>
      </c>
      <c r="N18" s="228">
        <f t="shared" si="8"/>
        <v>1268</v>
      </c>
      <c r="O18" s="246">
        <f t="shared" si="8"/>
        <v>635</v>
      </c>
      <c r="P18" s="67"/>
      <c r="Q18" s="67"/>
      <c r="R18" s="67"/>
      <c r="S18" s="67"/>
      <c r="T18" s="67"/>
    </row>
    <row r="19" spans="1:20" x14ac:dyDescent="0.3">
      <c r="A19" s="243"/>
      <c r="B19" s="243"/>
      <c r="C19" s="243"/>
      <c r="D19" s="243"/>
      <c r="E19" s="67"/>
      <c r="F19" s="67"/>
      <c r="G19" s="67"/>
      <c r="H19" s="67"/>
      <c r="I19" s="67"/>
      <c r="J19" s="72"/>
      <c r="K19" s="67"/>
      <c r="L19" s="67"/>
      <c r="M19" s="67"/>
      <c r="N19" s="72"/>
      <c r="O19" s="72"/>
      <c r="P19" s="67"/>
      <c r="Q19" s="67"/>
      <c r="R19" s="67"/>
      <c r="S19" s="67"/>
      <c r="T19" s="67"/>
    </row>
    <row r="20" spans="1:20" x14ac:dyDescent="0.3">
      <c r="A20" s="240" t="s">
        <v>204</v>
      </c>
      <c r="B20" s="240" t="s">
        <v>329</v>
      </c>
      <c r="C20" s="240" t="s">
        <v>328</v>
      </c>
      <c r="D20" s="240" t="s">
        <v>330</v>
      </c>
      <c r="E20" s="67"/>
      <c r="F20" s="423" t="s">
        <v>328</v>
      </c>
      <c r="G20" s="411" t="s">
        <v>329</v>
      </c>
      <c r="H20" s="413" t="s">
        <v>143</v>
      </c>
      <c r="I20" s="413"/>
      <c r="J20" s="413" t="s">
        <v>144</v>
      </c>
      <c r="K20" s="431"/>
      <c r="L20" s="67"/>
      <c r="M20" s="67"/>
      <c r="N20" s="67"/>
      <c r="O20" s="67"/>
      <c r="P20" s="67"/>
      <c r="Q20" s="67">
        <f>I3/30</f>
        <v>16.866666666666667</v>
      </c>
      <c r="R20" s="67"/>
      <c r="S20" s="67"/>
      <c r="T20" s="67"/>
    </row>
    <row r="21" spans="1:20" x14ac:dyDescent="0.3">
      <c r="A21" s="259" t="s">
        <v>142</v>
      </c>
      <c r="B21" s="259">
        <v>2500</v>
      </c>
      <c r="C21" s="259" t="s">
        <v>174</v>
      </c>
      <c r="D21" s="259">
        <v>14893.7845</v>
      </c>
      <c r="E21" s="67"/>
      <c r="F21" s="424"/>
      <c r="G21" s="412"/>
      <c r="H21" s="215" t="s">
        <v>235</v>
      </c>
      <c r="I21" s="215" t="s">
        <v>236</v>
      </c>
      <c r="J21" s="215" t="s">
        <v>235</v>
      </c>
      <c r="K21" s="216" t="s">
        <v>236</v>
      </c>
      <c r="L21" s="67"/>
      <c r="M21" s="67"/>
      <c r="N21" s="67"/>
      <c r="O21" s="67"/>
      <c r="P21" s="67"/>
      <c r="Q21" s="67"/>
      <c r="R21" s="67"/>
      <c r="S21" s="67"/>
      <c r="T21" s="67"/>
    </row>
    <row r="22" spans="1:20" x14ac:dyDescent="0.3">
      <c r="A22" s="243" t="s">
        <v>142</v>
      </c>
      <c r="B22" s="243">
        <v>2500</v>
      </c>
      <c r="C22" s="243" t="s">
        <v>173</v>
      </c>
      <c r="D22" s="243">
        <v>5156.9100000000008</v>
      </c>
      <c r="E22" s="67"/>
      <c r="F22" s="217" t="s">
        <v>172</v>
      </c>
      <c r="G22" s="218">
        <v>3500</v>
      </c>
      <c r="H22" s="218">
        <f>ROUND((((SUMIFS($D:$D,$C:$C,$F22,$B:$B,$G22,$A:$A,$H$20))/12)+(((SUMIFS($D:$D,$C:$C,$F22,$B:$B,$G22,$A:$A,$H$20)*($Q$4)))/12))/5,0)</f>
        <v>0</v>
      </c>
      <c r="I22" s="218">
        <f>ROUND((((SUMIFS($D:$D,$C:$C,$F22,$B:$B,$G22,$A:$A,$H$20))/12)+(((SUMIFS($D:$D,$C:$C,$F22,$B:$B,$G22,$A:$A,$H$20)*($Q$4)))/12))/10,0)</f>
        <v>0</v>
      </c>
      <c r="J22" s="218">
        <f>ROUND((((SUMIFS($D:$D,$C:$C,$F22,$B:$B,$G22,$A:$A,$J$20))/12)+(((SUMIFS($D:$D,$C:$C,$F22,$B:$B,$G22,$A:$A,$J$20)*($Q$4)))/12))/5,0)</f>
        <v>0</v>
      </c>
      <c r="K22" s="219">
        <f>ROUND((((SUMIFS($D:$D,$C:$C,$F22,$B:$B,$G22,$A:$A,$J$20))/12)+(((SUMIFS($D:$D,$C:$C,$F22,$B:$B,$G22,$A:$A,$J$20)*($Q$4)))/12))/10,0)</f>
        <v>0</v>
      </c>
      <c r="L22" s="67"/>
      <c r="M22" s="67"/>
      <c r="N22" s="67"/>
      <c r="O22" s="67"/>
      <c r="P22" s="67"/>
      <c r="Q22" s="67"/>
      <c r="R22" s="67"/>
      <c r="S22" s="67"/>
      <c r="T22" s="67"/>
    </row>
    <row r="23" spans="1:20" x14ac:dyDescent="0.3">
      <c r="A23" s="240"/>
      <c r="B23" s="240" t="s">
        <v>331</v>
      </c>
      <c r="C23" s="240"/>
      <c r="D23" s="240">
        <v>20050.694500000001</v>
      </c>
      <c r="E23" s="67"/>
      <c r="F23" s="220" t="s">
        <v>174</v>
      </c>
      <c r="G23" s="221">
        <v>3500</v>
      </c>
      <c r="H23" s="221">
        <v>0</v>
      </c>
      <c r="I23" s="221">
        <v>0</v>
      </c>
      <c r="J23" s="221">
        <v>0</v>
      </c>
      <c r="K23" s="222">
        <v>0</v>
      </c>
      <c r="L23" s="230"/>
      <c r="M23" s="230"/>
      <c r="N23" s="230"/>
      <c r="O23" s="230"/>
      <c r="P23" s="67"/>
      <c r="Q23" s="67"/>
      <c r="R23" s="67"/>
      <c r="S23" s="67"/>
      <c r="T23" s="67"/>
    </row>
    <row r="24" spans="1:20" x14ac:dyDescent="0.3">
      <c r="A24" s="243"/>
      <c r="B24" s="243"/>
      <c r="C24" s="243"/>
      <c r="D24" s="243"/>
      <c r="E24" s="67"/>
      <c r="F24" s="220" t="s">
        <v>174</v>
      </c>
      <c r="G24" s="221">
        <v>2500</v>
      </c>
      <c r="H24" s="221">
        <v>0</v>
      </c>
      <c r="I24" s="221">
        <v>0</v>
      </c>
      <c r="J24" s="221">
        <v>304</v>
      </c>
      <c r="K24" s="222">
        <v>152</v>
      </c>
      <c r="L24" s="67"/>
      <c r="M24" s="67"/>
      <c r="N24" s="67"/>
      <c r="O24" s="67"/>
      <c r="P24" s="67"/>
      <c r="Q24" s="67"/>
      <c r="R24" s="67"/>
      <c r="S24" s="67"/>
      <c r="T24" s="67"/>
    </row>
    <row r="25" spans="1:20" x14ac:dyDescent="0.3">
      <c r="A25" s="243"/>
      <c r="B25" s="243"/>
      <c r="C25" s="243"/>
      <c r="D25" s="243"/>
      <c r="E25" s="67"/>
      <c r="F25" s="220" t="s">
        <v>174</v>
      </c>
      <c r="G25" s="221">
        <v>1800</v>
      </c>
      <c r="H25" s="221">
        <v>11</v>
      </c>
      <c r="I25" s="221">
        <v>6</v>
      </c>
      <c r="J25" s="221">
        <v>0</v>
      </c>
      <c r="K25" s="222">
        <v>0</v>
      </c>
      <c r="L25" s="67"/>
      <c r="M25" s="67"/>
      <c r="N25" s="72"/>
      <c r="O25" s="72"/>
      <c r="P25" s="67"/>
      <c r="Q25" s="67"/>
      <c r="R25" s="67"/>
      <c r="S25" s="67"/>
      <c r="T25" s="67"/>
    </row>
    <row r="26" spans="1:20" x14ac:dyDescent="0.3">
      <c r="A26" s="240" t="s">
        <v>204</v>
      </c>
      <c r="B26" s="240" t="s">
        <v>329</v>
      </c>
      <c r="C26" s="240" t="s">
        <v>328</v>
      </c>
      <c r="D26" s="240" t="s">
        <v>330</v>
      </c>
      <c r="E26" s="67"/>
      <c r="F26" s="220" t="s">
        <v>174</v>
      </c>
      <c r="G26" s="221">
        <v>1500</v>
      </c>
      <c r="H26" s="221">
        <v>0</v>
      </c>
      <c r="I26" s="221">
        <v>0</v>
      </c>
      <c r="J26" s="221">
        <v>43</v>
      </c>
      <c r="K26" s="222">
        <v>22</v>
      </c>
      <c r="L26" s="67"/>
      <c r="M26" s="67"/>
      <c r="N26" s="67"/>
      <c r="O26" s="67"/>
      <c r="P26" s="67"/>
      <c r="Q26" s="67"/>
      <c r="R26" s="67"/>
      <c r="S26" s="67"/>
      <c r="T26" s="67"/>
    </row>
    <row r="27" spans="1:20" x14ac:dyDescent="0.3">
      <c r="A27" s="243" t="s">
        <v>143</v>
      </c>
      <c r="B27" s="243">
        <v>2500</v>
      </c>
      <c r="C27" s="243" t="s">
        <v>173</v>
      </c>
      <c r="D27" s="243">
        <v>7600.97</v>
      </c>
      <c r="E27" s="67"/>
      <c r="F27" s="220" t="s">
        <v>174</v>
      </c>
      <c r="G27" s="221">
        <v>1200</v>
      </c>
      <c r="H27" s="221">
        <v>42</v>
      </c>
      <c r="I27" s="221">
        <v>21</v>
      </c>
      <c r="J27" s="221">
        <v>42</v>
      </c>
      <c r="K27" s="222">
        <v>21</v>
      </c>
      <c r="L27" s="67"/>
      <c r="M27" s="67"/>
      <c r="N27" s="67"/>
      <c r="O27" s="67"/>
      <c r="P27" s="67"/>
      <c r="Q27" s="67"/>
      <c r="R27" s="67"/>
      <c r="S27" s="67"/>
      <c r="T27" s="67"/>
    </row>
    <row r="28" spans="1:20" x14ac:dyDescent="0.3">
      <c r="A28" s="259" t="s">
        <v>143</v>
      </c>
      <c r="B28" s="259">
        <v>1200</v>
      </c>
      <c r="C28" s="259" t="s">
        <v>174</v>
      </c>
      <c r="D28" s="259">
        <v>1047.28</v>
      </c>
      <c r="E28" s="67"/>
      <c r="F28" s="220" t="s">
        <v>174</v>
      </c>
      <c r="G28" s="221">
        <v>900</v>
      </c>
      <c r="H28" s="221">
        <v>198</v>
      </c>
      <c r="I28" s="221">
        <v>99</v>
      </c>
      <c r="J28" s="221">
        <v>209</v>
      </c>
      <c r="K28" s="222">
        <v>105</v>
      </c>
      <c r="L28" s="67"/>
      <c r="M28" s="67"/>
      <c r="N28" s="67"/>
      <c r="O28" s="67"/>
      <c r="P28" s="67"/>
      <c r="Q28" s="67"/>
      <c r="R28" s="67"/>
      <c r="S28" s="67"/>
      <c r="T28" s="67"/>
    </row>
    <row r="29" spans="1:20" x14ac:dyDescent="0.3">
      <c r="A29" s="243" t="s">
        <v>143</v>
      </c>
      <c r="B29" s="243">
        <v>1200</v>
      </c>
      <c r="C29" s="243" t="s">
        <v>173</v>
      </c>
      <c r="D29" s="243">
        <v>1028.3399999999999</v>
      </c>
      <c r="E29" s="67"/>
      <c r="F29" s="220" t="s">
        <v>174</v>
      </c>
      <c r="G29" s="221">
        <v>600</v>
      </c>
      <c r="H29" s="221">
        <v>0</v>
      </c>
      <c r="I29" s="221">
        <v>0</v>
      </c>
      <c r="J29" s="221">
        <v>12</v>
      </c>
      <c r="K29" s="222">
        <v>6</v>
      </c>
      <c r="L29" s="230"/>
      <c r="M29" s="230"/>
      <c r="N29" s="230"/>
      <c r="O29" s="230"/>
      <c r="P29" s="67"/>
      <c r="Q29" s="67"/>
      <c r="R29" s="67"/>
      <c r="S29" s="67"/>
      <c r="T29" s="67"/>
    </row>
    <row r="30" spans="1:20" x14ac:dyDescent="0.3">
      <c r="A30" s="259" t="s">
        <v>143</v>
      </c>
      <c r="B30" s="259">
        <v>1800</v>
      </c>
      <c r="C30" s="259" t="s">
        <v>174</v>
      </c>
      <c r="D30" s="259">
        <v>240.56</v>
      </c>
      <c r="E30" s="67"/>
      <c r="F30" s="223" t="s">
        <v>173</v>
      </c>
      <c r="G30" s="224">
        <v>3500</v>
      </c>
      <c r="H30" s="224">
        <f t="shared" ref="H30:H36" si="9">ROUND((((SUMIFS($D:$D,$C:$C,$F30,$B:$B,$G30,$A:$A,$H$20))/8)+(((SUMIFS($D:$D,$C:$C,$F30,$B:$B,$G30,$A:$A,$H$20)*($Q$4)))/8))/5,0)</f>
        <v>0</v>
      </c>
      <c r="I30" s="224">
        <f t="shared" ref="I30:I36" si="10">ROUND((((SUMIFS($D:$D,$C:$C,$F30,$B:$B,$G30,$A:$A,$H$20))/8)+(((SUMIFS($D:$D,$C:$C,$F30,$B:$B,$G30,$A:$A,$H$20)*($Q$4)))/8))/10,0)</f>
        <v>0</v>
      </c>
      <c r="J30" s="224">
        <f t="shared" ref="J30:J36" si="11">ROUND((((SUMIFS($D:$D,$C:$C,$F30,$B:$B,$G30,$A:$A,$J$20))/8)+(((SUMIFS($D:$D,$C:$C,$F30,$B:$B,$G30,$A:$A,$J$20)*($Q$4)))/8))/5,0)</f>
        <v>0</v>
      </c>
      <c r="K30" s="225">
        <f t="shared" ref="K30:K36" si="12">ROUND((((SUMIFS($D:$D,$C:$C,$F30,$B:$B,$G30,$A:$A,$J$20))/8)+(((SUMIFS($D:$D,$C:$C,$F30,$B:$B,$G30,$A:$A,$J$20)*($Q$4)))/8))/10,0)</f>
        <v>0</v>
      </c>
      <c r="L30" s="67"/>
      <c r="M30" s="67"/>
      <c r="N30" s="67"/>
      <c r="O30" s="67"/>
      <c r="P30" s="67"/>
      <c r="Q30" s="67"/>
      <c r="R30" s="67"/>
      <c r="S30" s="67"/>
      <c r="T30" s="67"/>
    </row>
    <row r="31" spans="1:20" x14ac:dyDescent="0.3">
      <c r="A31" s="259" t="s">
        <v>143</v>
      </c>
      <c r="B31" s="259">
        <v>900</v>
      </c>
      <c r="C31" s="259" t="s">
        <v>174</v>
      </c>
      <c r="D31" s="259">
        <v>5617.46</v>
      </c>
      <c r="E31" s="67"/>
      <c r="F31" s="223" t="s">
        <v>173</v>
      </c>
      <c r="G31" s="224">
        <v>2500</v>
      </c>
      <c r="H31" s="224">
        <f t="shared" si="9"/>
        <v>244</v>
      </c>
      <c r="I31" s="224">
        <f t="shared" si="10"/>
        <v>122</v>
      </c>
      <c r="J31" s="224">
        <f t="shared" si="11"/>
        <v>96</v>
      </c>
      <c r="K31" s="225">
        <f t="shared" si="12"/>
        <v>48</v>
      </c>
      <c r="L31" s="67"/>
      <c r="M31" s="67"/>
      <c r="N31" s="67"/>
      <c r="O31" s="67"/>
      <c r="P31" s="67"/>
      <c r="Q31" s="67"/>
      <c r="R31" s="67"/>
      <c r="S31" s="67"/>
      <c r="T31" s="67"/>
    </row>
    <row r="32" spans="1:20" x14ac:dyDescent="0.3">
      <c r="A32" s="243"/>
      <c r="B32" s="240" t="s">
        <v>331</v>
      </c>
      <c r="C32" s="240"/>
      <c r="D32" s="240">
        <v>15534.61</v>
      </c>
      <c r="E32" s="67"/>
      <c r="F32" s="223" t="s">
        <v>173</v>
      </c>
      <c r="G32" s="224">
        <v>1800</v>
      </c>
      <c r="H32" s="224">
        <f t="shared" si="9"/>
        <v>0</v>
      </c>
      <c r="I32" s="224">
        <f t="shared" si="10"/>
        <v>0</v>
      </c>
      <c r="J32" s="224">
        <f t="shared" si="11"/>
        <v>0</v>
      </c>
      <c r="K32" s="225">
        <f t="shared" si="12"/>
        <v>0</v>
      </c>
      <c r="L32" s="67"/>
      <c r="M32" s="67"/>
      <c r="N32" s="67"/>
      <c r="O32" s="67"/>
      <c r="P32" s="67"/>
      <c r="Q32" s="67"/>
      <c r="R32" s="67"/>
      <c r="S32" s="67"/>
      <c r="T32" s="67"/>
    </row>
    <row r="33" spans="1:20" x14ac:dyDescent="0.3">
      <c r="A33" s="243"/>
      <c r="B33" s="243"/>
      <c r="C33" s="243"/>
      <c r="D33" s="243"/>
      <c r="E33" s="67"/>
      <c r="F33" s="223" t="s">
        <v>173</v>
      </c>
      <c r="G33" s="224">
        <v>1500</v>
      </c>
      <c r="H33" s="224">
        <f t="shared" si="9"/>
        <v>0</v>
      </c>
      <c r="I33" s="224">
        <f t="shared" si="10"/>
        <v>0</v>
      </c>
      <c r="J33" s="224">
        <f t="shared" si="11"/>
        <v>0</v>
      </c>
      <c r="K33" s="225">
        <f t="shared" si="12"/>
        <v>0</v>
      </c>
      <c r="L33" s="67"/>
      <c r="M33" s="67"/>
      <c r="N33" s="67"/>
      <c r="O33" s="67"/>
      <c r="P33" s="67"/>
      <c r="Q33" s="67"/>
      <c r="R33" s="67"/>
      <c r="S33" s="67"/>
      <c r="T33" s="67"/>
    </row>
    <row r="34" spans="1:20" x14ac:dyDescent="0.3">
      <c r="A34" s="243"/>
      <c r="B34" s="243"/>
      <c r="C34" s="243"/>
      <c r="D34" s="243"/>
      <c r="E34" s="67"/>
      <c r="F34" s="223" t="s">
        <v>173</v>
      </c>
      <c r="G34" s="224">
        <v>1200</v>
      </c>
      <c r="H34" s="224">
        <f t="shared" si="9"/>
        <v>33</v>
      </c>
      <c r="I34" s="224">
        <f t="shared" si="10"/>
        <v>16</v>
      </c>
      <c r="J34" s="224">
        <f t="shared" si="11"/>
        <v>33</v>
      </c>
      <c r="K34" s="225">
        <f t="shared" si="12"/>
        <v>16</v>
      </c>
      <c r="L34" s="67"/>
      <c r="M34" s="67"/>
      <c r="N34" s="67"/>
      <c r="O34" s="67"/>
      <c r="P34" s="67"/>
      <c r="Q34" s="67"/>
      <c r="R34" s="67"/>
      <c r="S34" s="67"/>
      <c r="T34" s="67"/>
    </row>
    <row r="35" spans="1:20" x14ac:dyDescent="0.3">
      <c r="A35" s="240" t="s">
        <v>204</v>
      </c>
      <c r="B35" s="240" t="s">
        <v>329</v>
      </c>
      <c r="C35" s="240" t="s">
        <v>328</v>
      </c>
      <c r="D35" s="240" t="s">
        <v>330</v>
      </c>
      <c r="E35" s="67"/>
      <c r="F35" s="223" t="s">
        <v>173</v>
      </c>
      <c r="G35" s="224">
        <v>900</v>
      </c>
      <c r="H35" s="224">
        <f t="shared" si="9"/>
        <v>0</v>
      </c>
      <c r="I35" s="224">
        <f t="shared" si="10"/>
        <v>0</v>
      </c>
      <c r="J35" s="224">
        <f t="shared" si="11"/>
        <v>0</v>
      </c>
      <c r="K35" s="225">
        <f t="shared" si="12"/>
        <v>0</v>
      </c>
      <c r="L35" s="67"/>
      <c r="M35" s="67"/>
      <c r="N35" s="67"/>
      <c r="O35" s="67"/>
      <c r="P35" s="67"/>
      <c r="Q35" s="67"/>
      <c r="R35" s="67"/>
      <c r="S35" s="67"/>
      <c r="T35" s="67"/>
    </row>
    <row r="36" spans="1:20" x14ac:dyDescent="0.3">
      <c r="A36" s="259" t="s">
        <v>144</v>
      </c>
      <c r="B36" s="259">
        <v>2500</v>
      </c>
      <c r="C36" s="259" t="s">
        <v>174</v>
      </c>
      <c r="D36" s="259">
        <v>4104.2300000000005</v>
      </c>
      <c r="E36" s="67"/>
      <c r="F36" s="226" t="s">
        <v>173</v>
      </c>
      <c r="G36" s="227">
        <v>600</v>
      </c>
      <c r="H36" s="224">
        <f t="shared" si="9"/>
        <v>0</v>
      </c>
      <c r="I36" s="224">
        <f t="shared" si="10"/>
        <v>0</v>
      </c>
      <c r="J36" s="224">
        <f t="shared" si="11"/>
        <v>0</v>
      </c>
      <c r="K36" s="225">
        <f t="shared" si="12"/>
        <v>0</v>
      </c>
      <c r="L36" s="67"/>
      <c r="M36" s="67"/>
      <c r="N36" s="67"/>
      <c r="O36" s="67"/>
      <c r="P36" s="67"/>
      <c r="Q36" s="67"/>
      <c r="R36" s="67"/>
      <c r="S36" s="67"/>
      <c r="T36" s="67"/>
    </row>
    <row r="37" spans="1:20" x14ac:dyDescent="0.3">
      <c r="A37" s="243" t="s">
        <v>144</v>
      </c>
      <c r="B37" s="243">
        <v>2500</v>
      </c>
      <c r="C37" s="243" t="s">
        <v>173</v>
      </c>
      <c r="D37" s="243">
        <v>2999.1</v>
      </c>
      <c r="E37" s="67"/>
      <c r="F37" s="429" t="s">
        <v>331</v>
      </c>
      <c r="G37" s="430"/>
      <c r="H37" s="228">
        <f>SUM(H22:H36)</f>
        <v>528</v>
      </c>
      <c r="I37" s="228">
        <f t="shared" ref="I37" si="13">SUM(I22:I36)</f>
        <v>264</v>
      </c>
      <c r="J37" s="228">
        <f t="shared" ref="J37" si="14">SUM(J22:J36)</f>
        <v>739</v>
      </c>
      <c r="K37" s="246">
        <f t="shared" ref="K37" si="15">SUM(K22:K36)</f>
        <v>370</v>
      </c>
      <c r="L37" s="67"/>
      <c r="M37" s="67"/>
      <c r="N37" s="67"/>
      <c r="O37" s="67"/>
      <c r="P37" s="67"/>
      <c r="Q37" s="67"/>
      <c r="R37" s="67"/>
      <c r="S37" s="67"/>
      <c r="T37" s="67"/>
    </row>
    <row r="38" spans="1:20" x14ac:dyDescent="0.3">
      <c r="A38" s="259" t="s">
        <v>144</v>
      </c>
      <c r="B38" s="259">
        <v>1200</v>
      </c>
      <c r="C38" s="259" t="s">
        <v>174</v>
      </c>
      <c r="D38" s="259">
        <v>1047.28</v>
      </c>
      <c r="E38" s="67"/>
      <c r="F38" s="67"/>
      <c r="G38" s="67"/>
      <c r="H38" s="67"/>
      <c r="I38" s="67"/>
      <c r="J38" s="67"/>
      <c r="K38" s="67"/>
      <c r="L38" s="67"/>
      <c r="M38" s="67"/>
      <c r="N38" s="67"/>
      <c r="O38" s="67"/>
      <c r="P38" s="67"/>
      <c r="Q38" s="67"/>
      <c r="R38" s="67"/>
      <c r="S38" s="67"/>
      <c r="T38" s="67"/>
    </row>
    <row r="39" spans="1:20" x14ac:dyDescent="0.3">
      <c r="A39" s="243" t="s">
        <v>144</v>
      </c>
      <c r="B39" s="243">
        <v>1200</v>
      </c>
      <c r="C39" s="243" t="s">
        <v>173</v>
      </c>
      <c r="D39" s="243">
        <v>1028.3399999999999</v>
      </c>
      <c r="E39" s="67"/>
      <c r="F39" s="67"/>
      <c r="G39" s="67"/>
      <c r="H39" s="67"/>
      <c r="I39" s="67"/>
      <c r="J39" s="67"/>
      <c r="K39" s="67"/>
      <c r="L39" s="67"/>
      <c r="M39" s="67"/>
      <c r="N39" s="67"/>
      <c r="O39" s="67"/>
      <c r="P39" s="67"/>
      <c r="Q39" s="67"/>
      <c r="R39" s="67"/>
      <c r="S39" s="67"/>
      <c r="T39" s="67"/>
    </row>
    <row r="40" spans="1:20" x14ac:dyDescent="0.3">
      <c r="A40" s="259" t="s">
        <v>144</v>
      </c>
      <c r="B40" s="259">
        <v>1500</v>
      </c>
      <c r="C40" s="259" t="s">
        <v>174</v>
      </c>
      <c r="D40" s="259">
        <v>854.41</v>
      </c>
      <c r="E40" s="67"/>
      <c r="F40" s="72" t="s">
        <v>350</v>
      </c>
      <c r="G40" s="67"/>
      <c r="H40" s="67"/>
      <c r="I40" s="67"/>
      <c r="J40" s="67"/>
      <c r="K40" s="67"/>
      <c r="L40" s="67"/>
      <c r="M40" s="67"/>
      <c r="N40" s="67"/>
      <c r="O40" s="67"/>
      <c r="P40" s="67"/>
      <c r="Q40" s="67"/>
      <c r="R40" s="67"/>
      <c r="S40" s="67"/>
      <c r="T40" s="67"/>
    </row>
    <row r="41" spans="1:20" x14ac:dyDescent="0.3">
      <c r="A41" s="259" t="s">
        <v>144</v>
      </c>
      <c r="B41" s="259">
        <v>900</v>
      </c>
      <c r="C41" s="259" t="s">
        <v>174</v>
      </c>
      <c r="D41" s="259">
        <v>5858.02</v>
      </c>
      <c r="E41" s="67"/>
      <c r="F41" t="s">
        <v>234</v>
      </c>
      <c r="G41" s="67" t="s">
        <v>231</v>
      </c>
      <c r="H41" s="67"/>
      <c r="I41" s="67"/>
      <c r="J41" s="67"/>
      <c r="K41" s="67"/>
      <c r="L41" s="67"/>
      <c r="M41" s="67"/>
      <c r="N41" s="67"/>
      <c r="O41" s="67"/>
      <c r="P41" s="67"/>
      <c r="Q41" s="67"/>
      <c r="R41" s="67"/>
      <c r="S41" s="67"/>
      <c r="T41" s="67"/>
    </row>
    <row r="42" spans="1:20" x14ac:dyDescent="0.3">
      <c r="A42" s="259" t="s">
        <v>144</v>
      </c>
      <c r="B42" s="259">
        <v>600</v>
      </c>
      <c r="C42" s="259" t="s">
        <v>174</v>
      </c>
      <c r="D42" s="259">
        <v>399.78999999999996</v>
      </c>
      <c r="E42" s="67"/>
      <c r="F42" s="67" t="s">
        <v>351</v>
      </c>
      <c r="G42" s="67"/>
      <c r="H42" s="67"/>
      <c r="I42" s="67"/>
      <c r="J42" s="67"/>
      <c r="K42" s="67"/>
      <c r="L42" s="67"/>
      <c r="M42" s="67"/>
      <c r="N42" s="67"/>
      <c r="O42" s="67"/>
      <c r="P42" s="67"/>
      <c r="Q42" s="67"/>
      <c r="R42" s="67"/>
      <c r="S42" s="67"/>
      <c r="T42" s="67"/>
    </row>
    <row r="43" spans="1:20" x14ac:dyDescent="0.3">
      <c r="A43" s="243"/>
      <c r="B43" s="240" t="s">
        <v>331</v>
      </c>
      <c r="C43" s="240"/>
      <c r="D43" s="240">
        <v>16291.169999999998</v>
      </c>
      <c r="E43" s="67"/>
      <c r="F43" s="67" t="s">
        <v>352</v>
      </c>
      <c r="G43" s="67"/>
      <c r="H43" s="67"/>
      <c r="I43" s="67"/>
      <c r="J43" s="67"/>
      <c r="K43" s="67"/>
      <c r="L43" s="67"/>
      <c r="M43" s="67"/>
      <c r="N43" s="67"/>
      <c r="O43" s="67"/>
      <c r="P43" s="67"/>
      <c r="Q43" s="67"/>
      <c r="R43" s="67"/>
      <c r="S43" s="67"/>
      <c r="T43" s="67"/>
    </row>
    <row r="44" spans="1:20" x14ac:dyDescent="0.3">
      <c r="A44" s="67"/>
      <c r="B44" s="67"/>
      <c r="C44" s="185" t="s">
        <v>228</v>
      </c>
      <c r="D44" s="185">
        <f>SUMIFS(L:L,K:K,#REF!,J:J,$C44)</f>
        <v>0</v>
      </c>
      <c r="E44" s="67"/>
      <c r="F44" s="67" t="s">
        <v>353</v>
      </c>
      <c r="G44" s="67"/>
      <c r="H44" s="67"/>
      <c r="I44" s="67"/>
      <c r="J44" s="67"/>
      <c r="K44" s="67"/>
      <c r="L44" s="67"/>
      <c r="M44" s="67"/>
      <c r="N44" s="67"/>
      <c r="O44" s="67"/>
      <c r="P44" s="67"/>
      <c r="Q44" s="67"/>
      <c r="R44" s="67"/>
      <c r="S44" s="67"/>
      <c r="T44" s="67"/>
    </row>
    <row r="45" spans="1:20" x14ac:dyDescent="0.3">
      <c r="A45" s="67"/>
      <c r="B45" s="67"/>
      <c r="C45" s="185" t="s">
        <v>221</v>
      </c>
      <c r="D45" s="185">
        <f>SUMIFS(L:L,K:K,#REF!,J:J,$C45)</f>
        <v>0</v>
      </c>
      <c r="E45" s="67"/>
      <c r="F45" s="67" t="s">
        <v>354</v>
      </c>
      <c r="G45" s="67"/>
      <c r="H45" s="67"/>
      <c r="I45" s="67"/>
      <c r="J45" s="67"/>
      <c r="K45" s="67"/>
      <c r="L45" s="67"/>
      <c r="M45" s="67"/>
      <c r="N45" s="67"/>
      <c r="O45" s="67"/>
      <c r="P45" s="67"/>
      <c r="Q45" s="67"/>
      <c r="R45" s="67"/>
      <c r="S45" s="67"/>
      <c r="T45" s="67"/>
    </row>
    <row r="46" spans="1:20" x14ac:dyDescent="0.3">
      <c r="A46" s="67"/>
      <c r="B46" s="67"/>
      <c r="C46" s="184" t="s">
        <v>170</v>
      </c>
      <c r="D46" s="185"/>
      <c r="E46" s="67"/>
      <c r="F46" s="67" t="s">
        <v>355</v>
      </c>
      <c r="G46" s="67"/>
      <c r="H46" s="67"/>
      <c r="I46" s="67"/>
      <c r="J46" s="67"/>
      <c r="K46" s="67"/>
      <c r="L46" s="67"/>
      <c r="M46" s="67"/>
      <c r="N46" s="67"/>
      <c r="O46" s="67"/>
      <c r="P46" s="67"/>
      <c r="Q46" s="67"/>
      <c r="R46" s="67"/>
      <c r="S46" s="67"/>
      <c r="T46" s="67"/>
    </row>
    <row r="47" spans="1:20" x14ac:dyDescent="0.3">
      <c r="A47" s="67"/>
      <c r="B47" s="67"/>
      <c r="C47" s="185" t="s">
        <v>228</v>
      </c>
      <c r="D47" s="185">
        <f>SUMIFS(L:L,K:K,$C$46,J:J,$C47)</f>
        <v>0</v>
      </c>
      <c r="E47" s="67"/>
      <c r="F47" s="67"/>
      <c r="G47" s="67"/>
      <c r="H47" s="67"/>
      <c r="I47" s="67"/>
      <c r="J47" s="67"/>
      <c r="K47" s="67"/>
      <c r="L47" s="67"/>
      <c r="M47" s="67"/>
      <c r="N47" s="67"/>
      <c r="O47" s="67"/>
      <c r="P47" s="67"/>
      <c r="Q47" s="67"/>
      <c r="R47" s="67"/>
      <c r="S47" s="67"/>
      <c r="T47" s="67"/>
    </row>
    <row r="48" spans="1:20" x14ac:dyDescent="0.3">
      <c r="A48" s="67"/>
      <c r="B48" s="67"/>
      <c r="C48" s="185"/>
      <c r="D48" s="185"/>
      <c r="E48" s="67"/>
      <c r="F48" s="67"/>
      <c r="G48" s="67"/>
      <c r="H48" s="67"/>
      <c r="I48" s="67"/>
      <c r="J48" s="67"/>
      <c r="K48" s="67"/>
      <c r="L48" s="67"/>
      <c r="M48" s="67"/>
      <c r="N48" s="67"/>
      <c r="O48" s="67"/>
      <c r="P48" s="67"/>
      <c r="Q48" s="67"/>
      <c r="R48" s="67"/>
      <c r="S48" s="67"/>
      <c r="T48" s="67"/>
    </row>
  </sheetData>
  <mergeCells count="12">
    <mergeCell ref="F37:G37"/>
    <mergeCell ref="J1:K1"/>
    <mergeCell ref="L1:M1"/>
    <mergeCell ref="N1:O1"/>
    <mergeCell ref="G1:G2"/>
    <mergeCell ref="F1:F2"/>
    <mergeCell ref="F18:G18"/>
    <mergeCell ref="F20:F21"/>
    <mergeCell ref="G20:G21"/>
    <mergeCell ref="H20:I20"/>
    <mergeCell ref="H1:I1"/>
    <mergeCell ref="J20:K20"/>
  </mergeCells>
  <conditionalFormatting sqref="H37:K37 H18:O18">
    <cfRule type="cellIs" dxfId="1" priority="281" operator="lessThan">
      <formula>$Q$17</formula>
    </cfRule>
    <cfRule type="cellIs" dxfId="0" priority="282" operator="greaterThan">
      <formula>$Q$17</formula>
    </cfRule>
  </conditionalFormatting>
  <pageMargins left="0.7" right="0.7" top="0.75" bottom="0.75" header="0.3" footer="0.3"/>
  <pageSetup scale="56" orientation="portrait" r:id="rId1"/>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913541-D7A7-4A01-9BA1-196907FAD415}">
  <dimension ref="C1:U50"/>
  <sheetViews>
    <sheetView zoomScale="70" zoomScaleNormal="70" workbookViewId="0">
      <selection activeCell="J10" sqref="J10:M10"/>
    </sheetView>
  </sheetViews>
  <sheetFormatPr defaultRowHeight="14.4" x14ac:dyDescent="0.3"/>
  <cols>
    <col min="4" max="4" width="16.6640625" customWidth="1"/>
    <col min="11" max="11" width="15.33203125" customWidth="1"/>
    <col min="17" max="17" width="16.88671875" style="238" customWidth="1"/>
  </cols>
  <sheetData>
    <row r="1" spans="3:21" ht="15" thickBot="1" x14ac:dyDescent="0.35"/>
    <row r="2" spans="3:21" x14ac:dyDescent="0.3">
      <c r="C2" s="176" t="s">
        <v>220</v>
      </c>
      <c r="D2" s="177"/>
      <c r="E2" s="177"/>
      <c r="F2" s="177"/>
      <c r="G2" s="178" t="s">
        <v>235</v>
      </c>
      <c r="H2" s="179" t="s">
        <v>236</v>
      </c>
      <c r="J2" s="176" t="s">
        <v>226</v>
      </c>
      <c r="K2" s="177"/>
      <c r="L2" s="177"/>
      <c r="M2" s="177"/>
      <c r="N2" s="178" t="s">
        <v>235</v>
      </c>
      <c r="O2" s="179" t="s">
        <v>236</v>
      </c>
      <c r="U2" s="171" t="s">
        <v>216</v>
      </c>
    </row>
    <row r="3" spans="3:21" x14ac:dyDescent="0.3">
      <c r="C3" s="180"/>
      <c r="D3" s="175"/>
      <c r="E3" s="175"/>
      <c r="F3" s="175"/>
      <c r="G3" s="175"/>
      <c r="H3" s="181"/>
      <c r="J3" s="180"/>
      <c r="K3" s="175"/>
      <c r="L3" s="175"/>
      <c r="M3" s="175"/>
      <c r="N3" s="175"/>
      <c r="O3" s="181"/>
      <c r="U3">
        <f>(365-262)/365</f>
        <v>0.28219178082191781</v>
      </c>
    </row>
    <row r="4" spans="3:21" x14ac:dyDescent="0.3">
      <c r="C4" s="180" t="s">
        <v>221</v>
      </c>
      <c r="D4" s="175" t="s">
        <v>219</v>
      </c>
      <c r="E4" s="175">
        <v>7600.97</v>
      </c>
      <c r="F4" s="175"/>
      <c r="G4" s="175">
        <f>ROUND((($E4/8)+(($E4/8)*$U$3))/5,0)</f>
        <v>244</v>
      </c>
      <c r="H4" s="181">
        <f>ROUND((($E4/8)+(($E4/8)*$U$3))/10,0)</f>
        <v>122</v>
      </c>
      <c r="J4" s="180" t="s">
        <v>228</v>
      </c>
      <c r="K4" s="175" t="s">
        <v>219</v>
      </c>
      <c r="L4" s="175">
        <v>3941.7</v>
      </c>
      <c r="M4" s="175"/>
      <c r="N4" s="175">
        <f>ROUND((($L4/8)+(($L4/8)*$U$3))/5,0)</f>
        <v>126</v>
      </c>
      <c r="O4" s="181">
        <f>ROUND((($L4/8)+(($L4/8)*$U$3))/10,0)</f>
        <v>63</v>
      </c>
    </row>
    <row r="5" spans="3:21" x14ac:dyDescent="0.3">
      <c r="C5" s="180" t="s">
        <v>222</v>
      </c>
      <c r="D5" s="175" t="s">
        <v>219</v>
      </c>
      <c r="E5" s="175">
        <v>240.56</v>
      </c>
      <c r="F5" s="175"/>
      <c r="G5" s="175">
        <f t="shared" ref="G5:G6" si="0">ROUND((($E5/8)+(($E5/8)*$U$3))/5,0)</f>
        <v>8</v>
      </c>
      <c r="H5" s="181">
        <f t="shared" ref="H5:H6" si="1">ROUND((($E5/8)+(($E5/8)*$U$3))/10,0)</f>
        <v>4</v>
      </c>
      <c r="J5" s="180" t="s">
        <v>228</v>
      </c>
      <c r="K5" s="175" t="s">
        <v>218</v>
      </c>
      <c r="L5" s="175">
        <v>1862.2</v>
      </c>
      <c r="M5" s="175"/>
      <c r="N5" s="175">
        <v>154</v>
      </c>
      <c r="O5" s="181">
        <v>77</v>
      </c>
    </row>
    <row r="6" spans="3:21" x14ac:dyDescent="0.3">
      <c r="C6" s="180" t="s">
        <v>223</v>
      </c>
      <c r="D6" s="175" t="s">
        <v>219</v>
      </c>
      <c r="E6" s="175">
        <v>1030</v>
      </c>
      <c r="F6" s="175"/>
      <c r="G6" s="175">
        <f t="shared" si="0"/>
        <v>33</v>
      </c>
      <c r="H6" s="181">
        <f t="shared" si="1"/>
        <v>17</v>
      </c>
      <c r="J6" s="180" t="s">
        <v>228</v>
      </c>
      <c r="K6" s="175" t="s">
        <v>170</v>
      </c>
      <c r="L6" s="175">
        <v>5913</v>
      </c>
      <c r="M6" s="175"/>
      <c r="N6" s="175">
        <f>ROUND((($L6/10)+(($L6/10)*$U$3))/5,0)</f>
        <v>152</v>
      </c>
      <c r="O6" s="181">
        <f>ROUND((($L6/10)+(($L6/10)*$U$3))/10,0)</f>
        <v>76</v>
      </c>
    </row>
    <row r="7" spans="3:21" x14ac:dyDescent="0.3">
      <c r="C7" s="180" t="s">
        <v>223</v>
      </c>
      <c r="D7" s="175" t="s">
        <v>218</v>
      </c>
      <c r="E7" s="175">
        <v>1045.6199999999999</v>
      </c>
      <c r="F7" s="175"/>
      <c r="G7" s="175">
        <v>54</v>
      </c>
      <c r="H7" s="181">
        <v>27</v>
      </c>
      <c r="J7" s="180"/>
      <c r="K7" s="175"/>
      <c r="L7" s="175"/>
      <c r="M7" s="175"/>
      <c r="N7" s="175"/>
      <c r="O7" s="181"/>
    </row>
    <row r="8" spans="3:21" x14ac:dyDescent="0.3">
      <c r="C8" s="180" t="s">
        <v>224</v>
      </c>
      <c r="D8" s="175" t="s">
        <v>218</v>
      </c>
      <c r="E8" s="175">
        <v>5858.02</v>
      </c>
      <c r="F8" s="175"/>
      <c r="G8" s="175">
        <v>296</v>
      </c>
      <c r="H8" s="181">
        <v>148</v>
      </c>
      <c r="J8" s="180" t="s">
        <v>221</v>
      </c>
      <c r="K8" s="175" t="s">
        <v>219</v>
      </c>
      <c r="L8" s="175">
        <v>1914.7</v>
      </c>
      <c r="M8" s="175"/>
      <c r="N8" s="175">
        <f>ROUND((($L8/8)+(($L8/8)*$U$3))/5,0)</f>
        <v>61</v>
      </c>
      <c r="O8" s="181">
        <f>ROUND((($L8/8)+(($L8/8)*$U$3))/10,0)</f>
        <v>31</v>
      </c>
    </row>
    <row r="9" spans="3:21" ht="15" thickBot="1" x14ac:dyDescent="0.35">
      <c r="C9" s="432" t="s">
        <v>237</v>
      </c>
      <c r="D9" s="433"/>
      <c r="E9" s="433"/>
      <c r="F9" s="433"/>
      <c r="G9" s="182">
        <f>SUM(G4:G8)</f>
        <v>635</v>
      </c>
      <c r="H9" s="183">
        <f>SUM(H4:H8)</f>
        <v>318</v>
      </c>
      <c r="J9" s="180" t="s">
        <v>221</v>
      </c>
      <c r="K9" s="175" t="s">
        <v>218</v>
      </c>
      <c r="L9" s="175">
        <v>4850.1000000000004</v>
      </c>
      <c r="M9" s="175"/>
      <c r="N9" s="175">
        <v>339</v>
      </c>
      <c r="O9" s="181">
        <v>170</v>
      </c>
    </row>
    <row r="10" spans="3:21" ht="15" thickBot="1" x14ac:dyDescent="0.35">
      <c r="J10" s="432" t="s">
        <v>237</v>
      </c>
      <c r="K10" s="433"/>
      <c r="L10" s="433"/>
      <c r="M10" s="433"/>
      <c r="N10" s="182">
        <f>SUM(N4:N9)</f>
        <v>832</v>
      </c>
      <c r="O10" s="183">
        <f>SUM(O4:O9)</f>
        <v>417</v>
      </c>
    </row>
    <row r="11" spans="3:21" ht="15" thickBot="1" x14ac:dyDescent="0.35"/>
    <row r="12" spans="3:21" x14ac:dyDescent="0.3">
      <c r="C12" s="176" t="s">
        <v>225</v>
      </c>
      <c r="D12" s="177"/>
      <c r="E12" s="177"/>
      <c r="F12" s="177"/>
      <c r="G12" s="178" t="s">
        <v>235</v>
      </c>
      <c r="H12" s="179" t="s">
        <v>236</v>
      </c>
      <c r="J12" s="176" t="s">
        <v>227</v>
      </c>
      <c r="K12" s="177"/>
      <c r="L12" s="177"/>
      <c r="M12" s="177"/>
      <c r="N12" s="178" t="s">
        <v>235</v>
      </c>
      <c r="O12" s="179" t="s">
        <v>236</v>
      </c>
    </row>
    <row r="13" spans="3:21" x14ac:dyDescent="0.3">
      <c r="C13" s="180"/>
      <c r="D13" s="175"/>
      <c r="E13" s="175"/>
      <c r="F13" s="175"/>
      <c r="G13" s="175"/>
      <c r="H13" s="181"/>
      <c r="J13" s="180"/>
      <c r="K13" s="175"/>
      <c r="L13" s="175"/>
      <c r="M13" s="175"/>
      <c r="N13" s="175"/>
      <c r="O13" s="181"/>
    </row>
    <row r="14" spans="3:21" x14ac:dyDescent="0.3">
      <c r="C14" s="180" t="s">
        <v>221</v>
      </c>
      <c r="D14" s="175" t="s">
        <v>219</v>
      </c>
      <c r="E14" s="175">
        <v>7103.33</v>
      </c>
      <c r="F14" s="175"/>
      <c r="G14" s="175">
        <f t="shared" ref="G14:G16" si="2">ROUND((($E14/8)+(($E14/8)*$U$3))/5,0)</f>
        <v>228</v>
      </c>
      <c r="H14" s="181">
        <f t="shared" ref="H14:H16" si="3">ROUND((($E14/8)+(($E14/8)*$U$3))/10,0)</f>
        <v>114</v>
      </c>
      <c r="J14" s="180" t="s">
        <v>221</v>
      </c>
      <c r="K14" s="175" t="s">
        <v>219</v>
      </c>
      <c r="L14" s="175">
        <v>18224</v>
      </c>
      <c r="M14" s="175"/>
      <c r="N14" s="175">
        <f>ROUND((($L14/8)+(($L14/8)*$U$3))/5,0)</f>
        <v>584</v>
      </c>
      <c r="O14" s="181">
        <f>ROUND((($L14/8)+(($L14/8)*$U$3))/10,0)</f>
        <v>292</v>
      </c>
    </row>
    <row r="15" spans="3:21" x14ac:dyDescent="0.3">
      <c r="C15" s="180" t="s">
        <v>232</v>
      </c>
      <c r="D15" s="175" t="s">
        <v>219</v>
      </c>
      <c r="E15" s="175">
        <v>854.41</v>
      </c>
      <c r="F15" s="175"/>
      <c r="G15" s="175">
        <f t="shared" si="2"/>
        <v>27</v>
      </c>
      <c r="H15" s="181">
        <f t="shared" si="3"/>
        <v>14</v>
      </c>
      <c r="J15" s="180" t="s">
        <v>221</v>
      </c>
      <c r="K15" s="175" t="s">
        <v>218</v>
      </c>
      <c r="L15" s="175">
        <v>2510.1999999999998</v>
      </c>
      <c r="M15" s="175"/>
      <c r="N15" s="175">
        <v>173</v>
      </c>
      <c r="O15" s="181">
        <v>87</v>
      </c>
    </row>
    <row r="16" spans="3:21" ht="15" thickBot="1" x14ac:dyDescent="0.35">
      <c r="C16" s="180" t="s">
        <v>223</v>
      </c>
      <c r="D16" s="175" t="s">
        <v>219</v>
      </c>
      <c r="E16" s="175">
        <v>1030</v>
      </c>
      <c r="F16" s="175"/>
      <c r="G16" s="175">
        <f t="shared" si="2"/>
        <v>33</v>
      </c>
      <c r="H16" s="181">
        <f t="shared" si="3"/>
        <v>17</v>
      </c>
      <c r="J16" s="432" t="s">
        <v>237</v>
      </c>
      <c r="K16" s="433"/>
      <c r="L16" s="433"/>
      <c r="M16" s="433"/>
      <c r="N16" s="182">
        <f>SUM(N14:N15)</f>
        <v>757</v>
      </c>
      <c r="O16" s="183">
        <f>SUM(O14:O15)</f>
        <v>379</v>
      </c>
    </row>
    <row r="17" spans="3:18" x14ac:dyDescent="0.3">
      <c r="C17" s="180" t="s">
        <v>223</v>
      </c>
      <c r="D17" s="175" t="s">
        <v>218</v>
      </c>
      <c r="E17" s="175">
        <v>1045.6199999999999</v>
      </c>
      <c r="F17" s="175"/>
      <c r="G17" s="175">
        <v>54</v>
      </c>
      <c r="H17" s="181">
        <v>27</v>
      </c>
    </row>
    <row r="18" spans="3:18" x14ac:dyDescent="0.3">
      <c r="C18" s="180" t="s">
        <v>224</v>
      </c>
      <c r="D18" s="175" t="s">
        <v>218</v>
      </c>
      <c r="E18" s="175">
        <v>5858.02</v>
      </c>
      <c r="F18" s="175"/>
      <c r="G18" s="175">
        <v>281</v>
      </c>
      <c r="H18" s="181">
        <v>141</v>
      </c>
    </row>
    <row r="19" spans="3:18" x14ac:dyDescent="0.3">
      <c r="C19" s="180" t="s">
        <v>233</v>
      </c>
      <c r="D19" s="175" t="s">
        <v>218</v>
      </c>
      <c r="E19" s="175">
        <v>399.79</v>
      </c>
      <c r="F19" s="175"/>
      <c r="G19" s="175">
        <v>19</v>
      </c>
      <c r="H19" s="181">
        <v>9</v>
      </c>
      <c r="Q19" s="171" t="s">
        <v>345</v>
      </c>
    </row>
    <row r="20" spans="3:18" ht="15" thickBot="1" x14ac:dyDescent="0.35">
      <c r="C20" s="432" t="s">
        <v>237</v>
      </c>
      <c r="D20" s="433"/>
      <c r="E20" s="433"/>
      <c r="F20" s="433"/>
      <c r="G20" s="182">
        <f>SUM(G14:G19)</f>
        <v>642</v>
      </c>
      <c r="H20" s="183">
        <f>SUM(H14:H19)</f>
        <v>322</v>
      </c>
      <c r="Q20" s="171" t="s">
        <v>346</v>
      </c>
    </row>
    <row r="21" spans="3:18" x14ac:dyDescent="0.3">
      <c r="J21" s="176" t="s">
        <v>229</v>
      </c>
      <c r="K21" s="177"/>
      <c r="L21" s="177"/>
      <c r="M21" s="177"/>
      <c r="N21" s="178" t="s">
        <v>235</v>
      </c>
      <c r="O21" s="179" t="s">
        <v>236</v>
      </c>
      <c r="Q21" s="239"/>
    </row>
    <row r="22" spans="3:18" ht="28.8" x14ac:dyDescent="0.3">
      <c r="C22" s="184" t="s">
        <v>231</v>
      </c>
      <c r="D22" s="185"/>
      <c r="J22" s="180"/>
      <c r="K22" s="175"/>
      <c r="L22" s="175"/>
      <c r="M22" s="175"/>
      <c r="N22" s="175"/>
      <c r="O22" s="181"/>
      <c r="Q22" s="239" t="s">
        <v>347</v>
      </c>
      <c r="R22" s="171">
        <f>2*(365-103)</f>
        <v>524</v>
      </c>
    </row>
    <row r="23" spans="3:18" x14ac:dyDescent="0.3">
      <c r="C23" s="185"/>
      <c r="D23" s="185"/>
      <c r="J23" s="180" t="s">
        <v>221</v>
      </c>
      <c r="K23" s="175" t="s">
        <v>219</v>
      </c>
      <c r="L23" s="175">
        <v>19363.2</v>
      </c>
      <c r="M23" s="175"/>
      <c r="N23" s="175">
        <f>ROUND((($L23/8)+(($L23/8)*$U$3))/5,0)</f>
        <v>621</v>
      </c>
      <c r="O23" s="181">
        <f>ROUND((($L23/8)+(($L23/8)*$U$3))/10,0)</f>
        <v>310</v>
      </c>
    </row>
    <row r="24" spans="3:18" x14ac:dyDescent="0.3">
      <c r="C24" s="184" t="s">
        <v>219</v>
      </c>
      <c r="D24" s="185"/>
      <c r="J24" s="180" t="s">
        <v>221</v>
      </c>
      <c r="K24" s="175" t="s">
        <v>218</v>
      </c>
      <c r="L24" s="175">
        <v>1530.52</v>
      </c>
      <c r="M24" s="175"/>
      <c r="N24" s="175">
        <v>104</v>
      </c>
      <c r="O24" s="181">
        <v>52</v>
      </c>
    </row>
    <row r="25" spans="3:18" ht="15" thickBot="1" x14ac:dyDescent="0.35">
      <c r="C25" s="185" t="s">
        <v>221</v>
      </c>
      <c r="D25" s="185">
        <f>SUMIFS($E$4:$E$19,$D$4:$D$19,$C$24,$C$4:$C$19,$C25)</f>
        <v>14704.3</v>
      </c>
      <c r="J25" s="432" t="s">
        <v>237</v>
      </c>
      <c r="K25" s="433"/>
      <c r="L25" s="433"/>
      <c r="M25" s="433"/>
      <c r="N25" s="182">
        <f>SUM(N23:N24)</f>
        <v>725</v>
      </c>
      <c r="O25" s="183">
        <f>SUM(O23:O24)</f>
        <v>362</v>
      </c>
    </row>
    <row r="26" spans="3:18" ht="15" thickBot="1" x14ac:dyDescent="0.35">
      <c r="C26" s="185" t="s">
        <v>222</v>
      </c>
      <c r="D26" s="185">
        <f t="shared" ref="D26:D28" si="4">SUMIFS($E$4:$E$19,$D$4:$D$19,$C$24,$C$4:$C$19,$C26)</f>
        <v>240.56</v>
      </c>
    </row>
    <row r="27" spans="3:18" x14ac:dyDescent="0.3">
      <c r="C27" s="185" t="s">
        <v>232</v>
      </c>
      <c r="D27" s="185">
        <f t="shared" si="4"/>
        <v>854.41</v>
      </c>
      <c r="J27" s="176" t="s">
        <v>230</v>
      </c>
      <c r="K27" s="177"/>
      <c r="L27" s="177"/>
      <c r="M27" s="177"/>
      <c r="N27" s="178" t="s">
        <v>235</v>
      </c>
      <c r="O27" s="179" t="s">
        <v>236</v>
      </c>
    </row>
    <row r="28" spans="3:18" x14ac:dyDescent="0.3">
      <c r="C28" s="185" t="s">
        <v>223</v>
      </c>
      <c r="D28" s="185">
        <f t="shared" si="4"/>
        <v>2060</v>
      </c>
      <c r="J28" s="180"/>
      <c r="K28" s="175"/>
      <c r="L28" s="175"/>
      <c r="M28" s="175"/>
      <c r="N28" s="175"/>
      <c r="O28" s="181"/>
    </row>
    <row r="29" spans="3:18" x14ac:dyDescent="0.3">
      <c r="C29" s="185"/>
      <c r="D29" s="185"/>
      <c r="J29" s="180" t="s">
        <v>221</v>
      </c>
      <c r="K29" s="175" t="s">
        <v>219</v>
      </c>
      <c r="L29" s="175">
        <v>14912.54</v>
      </c>
      <c r="M29" s="175"/>
      <c r="N29" s="175">
        <f>ROUND((($L29/8)+(($L29/8)*$U$3))/5,0)</f>
        <v>478</v>
      </c>
      <c r="O29" s="181">
        <f>ROUND((($L29/8)+(($L29/8)*$U$3))/10,0)</f>
        <v>239</v>
      </c>
    </row>
    <row r="30" spans="3:18" x14ac:dyDescent="0.3">
      <c r="C30" s="184" t="s">
        <v>218</v>
      </c>
      <c r="D30" s="185"/>
      <c r="J30" s="180" t="s">
        <v>221</v>
      </c>
      <c r="K30" s="175" t="s">
        <v>218</v>
      </c>
      <c r="L30" s="175">
        <v>3544.7</v>
      </c>
      <c r="M30" s="175"/>
      <c r="N30" s="175">
        <v>242</v>
      </c>
      <c r="O30" s="181">
        <v>121</v>
      </c>
    </row>
    <row r="31" spans="3:18" ht="15" thickBot="1" x14ac:dyDescent="0.35">
      <c r="C31" s="185" t="s">
        <v>221</v>
      </c>
      <c r="D31" s="185">
        <f t="shared" ref="D31:D35" si="5">SUMIFS($E$4:$E$19,$D$4:$D$19,$C$30,$C$4:$C$19,$C31)</f>
        <v>0</v>
      </c>
      <c r="J31" s="432" t="s">
        <v>237</v>
      </c>
      <c r="K31" s="433"/>
      <c r="L31" s="433"/>
      <c r="M31" s="433"/>
      <c r="N31" s="182">
        <f>SUM(N29:N30)</f>
        <v>720</v>
      </c>
      <c r="O31" s="183">
        <f>SUM(O29:O30)</f>
        <v>360</v>
      </c>
    </row>
    <row r="32" spans="3:18" x14ac:dyDescent="0.3">
      <c r="C32" s="185" t="s">
        <v>222</v>
      </c>
      <c r="D32" s="185">
        <f t="shared" si="5"/>
        <v>0</v>
      </c>
    </row>
    <row r="33" spans="3:4" x14ac:dyDescent="0.3">
      <c r="C33" s="185" t="s">
        <v>232</v>
      </c>
      <c r="D33" s="185">
        <f t="shared" si="5"/>
        <v>0</v>
      </c>
    </row>
    <row r="34" spans="3:4" x14ac:dyDescent="0.3">
      <c r="C34" s="185" t="s">
        <v>223</v>
      </c>
      <c r="D34" s="185">
        <f t="shared" si="5"/>
        <v>2091.2399999999998</v>
      </c>
    </row>
    <row r="35" spans="3:4" x14ac:dyDescent="0.3">
      <c r="C35" s="185" t="s">
        <v>224</v>
      </c>
      <c r="D35" s="185">
        <f t="shared" si="5"/>
        <v>11716.04</v>
      </c>
    </row>
    <row r="36" spans="3:4" x14ac:dyDescent="0.3">
      <c r="C36" s="185" t="s">
        <v>233</v>
      </c>
      <c r="D36" s="185">
        <f>SUMIFS($E$4:$E$19,$D$4:$D$19,$C$30,$C$4:$C$19,$C36)</f>
        <v>399.79</v>
      </c>
    </row>
    <row r="37" spans="3:4" x14ac:dyDescent="0.3">
      <c r="C37" s="185"/>
      <c r="D37" s="185"/>
    </row>
    <row r="38" spans="3:4" x14ac:dyDescent="0.3">
      <c r="C38" s="185"/>
      <c r="D38" s="185"/>
    </row>
    <row r="39" spans="3:4" x14ac:dyDescent="0.3">
      <c r="C39" s="184" t="s">
        <v>234</v>
      </c>
      <c r="D39" s="185"/>
    </row>
    <row r="40" spans="3:4" x14ac:dyDescent="0.3">
      <c r="C40" s="185"/>
      <c r="D40" s="185"/>
    </row>
    <row r="41" spans="3:4" x14ac:dyDescent="0.3">
      <c r="C41" s="184" t="s">
        <v>219</v>
      </c>
      <c r="D41" s="185"/>
    </row>
    <row r="42" spans="3:4" x14ac:dyDescent="0.3">
      <c r="C42" s="185" t="s">
        <v>228</v>
      </c>
      <c r="D42" s="185">
        <f>SUMIFS(L:L,K:K,$C$41,J:J,$C42)</f>
        <v>3941.7</v>
      </c>
    </row>
    <row r="43" spans="3:4" x14ac:dyDescent="0.3">
      <c r="C43" s="185" t="s">
        <v>221</v>
      </c>
      <c r="D43" s="185">
        <f>SUMIFS(L:L,K:K,$C$41,J:J,$C43)</f>
        <v>54414.44</v>
      </c>
    </row>
    <row r="44" spans="3:4" x14ac:dyDescent="0.3">
      <c r="C44" s="185"/>
      <c r="D44" s="185"/>
    </row>
    <row r="45" spans="3:4" x14ac:dyDescent="0.3">
      <c r="C45" s="184" t="s">
        <v>218</v>
      </c>
      <c r="D45" s="185"/>
    </row>
    <row r="46" spans="3:4" x14ac:dyDescent="0.3">
      <c r="C46" s="185" t="s">
        <v>228</v>
      </c>
      <c r="D46" s="185">
        <f>SUMIFS(L:L,K:K,$C$45,J:J,$C46)</f>
        <v>1862.2</v>
      </c>
    </row>
    <row r="47" spans="3:4" x14ac:dyDescent="0.3">
      <c r="C47" s="185" t="s">
        <v>221</v>
      </c>
      <c r="D47" s="185">
        <f>SUMIFS(L:L,K:K,$C$45,J:J,$C47)</f>
        <v>12435.52</v>
      </c>
    </row>
    <row r="48" spans="3:4" x14ac:dyDescent="0.3">
      <c r="C48" s="184" t="s">
        <v>170</v>
      </c>
      <c r="D48" s="185"/>
    </row>
    <row r="49" spans="3:4" x14ac:dyDescent="0.3">
      <c r="C49" s="185" t="s">
        <v>228</v>
      </c>
      <c r="D49" s="185">
        <f>SUMIFS(L:L,K:K,$C$48,J:J,$C49)</f>
        <v>5913</v>
      </c>
    </row>
    <row r="50" spans="3:4" x14ac:dyDescent="0.3">
      <c r="C50" s="185"/>
      <c r="D50" s="185"/>
    </row>
  </sheetData>
  <mergeCells count="6">
    <mergeCell ref="J10:M10"/>
    <mergeCell ref="J16:M16"/>
    <mergeCell ref="J25:M25"/>
    <mergeCell ref="J31:M31"/>
    <mergeCell ref="C9:F9"/>
    <mergeCell ref="C20:F20"/>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6443AF-F715-4224-AE13-D14000E021AB}">
  <sheetPr>
    <tabColor theme="0" tint="-0.34998626667073579"/>
  </sheetPr>
  <dimension ref="A2:X42"/>
  <sheetViews>
    <sheetView topLeftCell="G1" zoomScaleNormal="100" workbookViewId="0">
      <selection activeCell="S14" sqref="S14"/>
    </sheetView>
  </sheetViews>
  <sheetFormatPr defaultRowHeight="14.4" x14ac:dyDescent="0.3"/>
  <cols>
    <col min="1" max="1" width="3" bestFit="1" customWidth="1"/>
    <col min="2" max="2" width="28.21875" bestFit="1" customWidth="1"/>
    <col min="5" max="5" width="12" bestFit="1" customWidth="1"/>
    <col min="6" max="6" width="24.77734375" bestFit="1" customWidth="1"/>
    <col min="7" max="7" width="6.21875" customWidth="1"/>
    <col min="8" max="8" width="10.21875" customWidth="1"/>
    <col min="9" max="9" width="8.44140625" bestFit="1" customWidth="1"/>
    <col min="10" max="10" width="25.5546875" customWidth="1"/>
    <col min="11" max="11" width="15.5546875" bestFit="1" customWidth="1"/>
    <col min="12" max="12" width="5" bestFit="1" customWidth="1"/>
  </cols>
  <sheetData>
    <row r="2" spans="1:24" x14ac:dyDescent="0.3">
      <c r="J2" s="233" t="s">
        <v>343</v>
      </c>
      <c r="R2" s="261" t="s">
        <v>203</v>
      </c>
      <c r="S2" s="261" t="s">
        <v>201</v>
      </c>
      <c r="T2" s="261" t="s">
        <v>358</v>
      </c>
      <c r="U2" s="261" t="s">
        <v>359</v>
      </c>
      <c r="V2" s="261" t="s">
        <v>210</v>
      </c>
      <c r="W2" s="261" t="s">
        <v>202</v>
      </c>
      <c r="X2" s="261" t="s">
        <v>360</v>
      </c>
    </row>
    <row r="3" spans="1:24" x14ac:dyDescent="0.3">
      <c r="J3" s="234" t="s">
        <v>344</v>
      </c>
      <c r="R3" s="264">
        <v>1.88</v>
      </c>
      <c r="S3" s="264">
        <v>2.73</v>
      </c>
      <c r="T3" s="264">
        <v>4.37</v>
      </c>
      <c r="U3" s="264">
        <v>3.94</v>
      </c>
      <c r="V3" s="264">
        <v>5.04</v>
      </c>
      <c r="W3" s="264">
        <v>5.69</v>
      </c>
      <c r="X3" s="264">
        <v>6.78</v>
      </c>
    </row>
    <row r="4" spans="1:24" x14ac:dyDescent="0.3">
      <c r="A4" t="s">
        <v>244</v>
      </c>
      <c r="R4" s="264"/>
      <c r="S4" s="264">
        <v>2.71</v>
      </c>
      <c r="T4" s="264"/>
      <c r="U4" s="264"/>
      <c r="V4" s="264"/>
      <c r="W4" s="264"/>
      <c r="X4" s="264"/>
    </row>
    <row r="5" spans="1:24" x14ac:dyDescent="0.3">
      <c r="R5" s="264"/>
      <c r="S5" s="264">
        <v>2.69</v>
      </c>
      <c r="T5" s="264"/>
      <c r="U5" s="264"/>
      <c r="V5" s="264"/>
      <c r="W5" s="264"/>
      <c r="X5" s="264"/>
    </row>
    <row r="6" spans="1:24" x14ac:dyDescent="0.3">
      <c r="B6" t="s">
        <v>245</v>
      </c>
      <c r="C6" t="s">
        <v>246</v>
      </c>
      <c r="D6" t="s">
        <v>247</v>
      </c>
      <c r="E6" t="s">
        <v>248</v>
      </c>
      <c r="F6" t="s">
        <v>249</v>
      </c>
      <c r="G6" s="434" t="s">
        <v>250</v>
      </c>
      <c r="H6" s="434"/>
      <c r="J6" s="199" t="s">
        <v>251</v>
      </c>
      <c r="K6" s="232">
        <v>600</v>
      </c>
      <c r="L6" s="199" t="s">
        <v>252</v>
      </c>
      <c r="M6" s="199"/>
      <c r="R6" s="264"/>
      <c r="S6" s="264">
        <v>2.7</v>
      </c>
      <c r="T6" s="264"/>
      <c r="U6" s="264"/>
      <c r="V6" s="264"/>
      <c r="W6" s="264"/>
      <c r="X6" s="264"/>
    </row>
    <row r="7" spans="1:24" x14ac:dyDescent="0.3">
      <c r="J7" s="199" t="s">
        <v>253</v>
      </c>
      <c r="K7" s="232">
        <v>400</v>
      </c>
      <c r="L7" s="199" t="s">
        <v>254</v>
      </c>
      <c r="M7" s="199"/>
      <c r="R7" s="264"/>
      <c r="S7" s="264">
        <v>2.7</v>
      </c>
      <c r="T7" s="264"/>
      <c r="U7" s="264"/>
      <c r="V7" s="264"/>
      <c r="W7" s="264"/>
      <c r="X7" s="264"/>
    </row>
    <row r="8" spans="1:24" x14ac:dyDescent="0.3">
      <c r="A8" s="200">
        <v>1</v>
      </c>
      <c r="B8" t="s">
        <v>255</v>
      </c>
      <c r="C8" s="200">
        <f>ROUND(K$8*2+(K$9*2),0)</f>
        <v>202</v>
      </c>
      <c r="D8" s="200" t="s">
        <v>254</v>
      </c>
      <c r="E8" s="201">
        <f>ROUND(C8/G8,1)</f>
        <v>5.0999999999999996</v>
      </c>
      <c r="F8" s="200" t="s">
        <v>256</v>
      </c>
      <c r="G8" s="200">
        <v>40</v>
      </c>
      <c r="H8" s="200" t="s">
        <v>257</v>
      </c>
      <c r="J8" s="199" t="s">
        <v>258</v>
      </c>
      <c r="K8" s="199">
        <v>100</v>
      </c>
      <c r="L8" s="199" t="s">
        <v>259</v>
      </c>
      <c r="M8" s="199"/>
      <c r="R8" s="265">
        <f>AVERAGE(R3:R7)</f>
        <v>1.88</v>
      </c>
      <c r="S8" s="265">
        <f t="shared" ref="S8:X8" si="0">AVERAGE(S3:S7)</f>
        <v>2.7059999999999995</v>
      </c>
      <c r="T8" s="265">
        <f t="shared" si="0"/>
        <v>4.37</v>
      </c>
      <c r="U8" s="265">
        <f t="shared" si="0"/>
        <v>3.94</v>
      </c>
      <c r="V8" s="265">
        <f t="shared" si="0"/>
        <v>5.04</v>
      </c>
      <c r="W8" s="265">
        <f t="shared" si="0"/>
        <v>5.69</v>
      </c>
      <c r="X8" s="265">
        <f t="shared" si="0"/>
        <v>6.78</v>
      </c>
    </row>
    <row r="9" spans="1:24" x14ac:dyDescent="0.3">
      <c r="A9" s="200">
        <v>2</v>
      </c>
      <c r="B9" t="s">
        <v>260</v>
      </c>
      <c r="C9" s="200">
        <f>ROUND(0.3*K$8*K$9,0)</f>
        <v>27</v>
      </c>
      <c r="D9" s="200" t="s">
        <v>261</v>
      </c>
      <c r="E9" s="201">
        <f>ROUND(C9/G9,1)</f>
        <v>1.4</v>
      </c>
      <c r="F9" s="200" t="s">
        <v>262</v>
      </c>
      <c r="G9" s="200">
        <v>20</v>
      </c>
      <c r="H9" s="200" t="s">
        <v>263</v>
      </c>
      <c r="J9" s="199" t="s">
        <v>264</v>
      </c>
      <c r="K9" s="199">
        <f>(K6/1000)+(2*0.15)</f>
        <v>0.89999999999999991</v>
      </c>
      <c r="L9" s="199" t="s">
        <v>259</v>
      </c>
      <c r="M9" s="199"/>
    </row>
    <row r="10" spans="1:24" x14ac:dyDescent="0.3">
      <c r="A10" s="200">
        <v>3</v>
      </c>
      <c r="B10" t="s">
        <v>265</v>
      </c>
      <c r="C10" s="200">
        <f>ROUND(0.3*K$8*K$9,0)</f>
        <v>27</v>
      </c>
      <c r="D10" s="200" t="s">
        <v>261</v>
      </c>
      <c r="E10" s="201">
        <f>ROUND(C10/G10,1)</f>
        <v>3.4</v>
      </c>
      <c r="F10" s="200" t="s">
        <v>266</v>
      </c>
      <c r="G10" s="200">
        <v>8</v>
      </c>
      <c r="H10" s="200" t="s">
        <v>263</v>
      </c>
      <c r="J10" s="199" t="s">
        <v>267</v>
      </c>
      <c r="K10" s="199">
        <f>2+(K6/1000)+0.3</f>
        <v>2.9</v>
      </c>
      <c r="L10" s="199" t="s">
        <v>259</v>
      </c>
      <c r="M10" s="199"/>
    </row>
    <row r="11" spans="1:24" x14ac:dyDescent="0.3">
      <c r="A11" s="200"/>
      <c r="C11" s="200"/>
      <c r="D11" s="200"/>
      <c r="E11" s="201"/>
      <c r="F11" s="200" t="s">
        <v>268</v>
      </c>
      <c r="G11" s="200"/>
      <c r="H11" s="200"/>
      <c r="J11" s="199" t="s">
        <v>269</v>
      </c>
      <c r="K11" s="199">
        <v>0.7</v>
      </c>
      <c r="L11" s="199" t="s">
        <v>259</v>
      </c>
      <c r="M11" s="199"/>
      <c r="N11" t="s">
        <v>339</v>
      </c>
    </row>
    <row r="12" spans="1:24" x14ac:dyDescent="0.3">
      <c r="A12" s="200">
        <v>4</v>
      </c>
      <c r="B12" t="s">
        <v>270</v>
      </c>
      <c r="C12" s="200">
        <f>ROUND(K$10*K$8*K$9,0)</f>
        <v>261</v>
      </c>
      <c r="D12" s="200" t="s">
        <v>261</v>
      </c>
      <c r="E12" s="201">
        <f>ROUND(C12/G12,1)</f>
        <v>14.5</v>
      </c>
      <c r="F12" s="200" t="s">
        <v>266</v>
      </c>
      <c r="G12" s="200">
        <v>18</v>
      </c>
      <c r="H12" s="200" t="s">
        <v>263</v>
      </c>
      <c r="J12" s="199" t="s">
        <v>271</v>
      </c>
      <c r="K12" s="199">
        <v>1</v>
      </c>
      <c r="L12" s="199" t="s">
        <v>259</v>
      </c>
      <c r="M12" s="199"/>
      <c r="N12" t="s">
        <v>339</v>
      </c>
    </row>
    <row r="13" spans="1:24" x14ac:dyDescent="0.3">
      <c r="A13" s="200"/>
      <c r="C13" s="200"/>
      <c r="D13" s="200"/>
      <c r="E13" s="201"/>
      <c r="F13" s="200" t="s">
        <v>268</v>
      </c>
      <c r="G13" s="200"/>
      <c r="H13" s="200"/>
      <c r="J13" s="199" t="s">
        <v>272</v>
      </c>
      <c r="K13" s="199">
        <f>K10+0.8</f>
        <v>3.7</v>
      </c>
      <c r="L13" s="199" t="s">
        <v>259</v>
      </c>
      <c r="M13" s="199"/>
      <c r="N13" t="s">
        <v>339</v>
      </c>
    </row>
    <row r="14" spans="1:24" x14ac:dyDescent="0.3">
      <c r="A14" s="200">
        <v>5</v>
      </c>
      <c r="B14" t="s">
        <v>273</v>
      </c>
      <c r="C14" s="251">
        <f>ROUND(K$13*K$12*K$11*2*10,0)</f>
        <v>52</v>
      </c>
      <c r="D14" s="200" t="s">
        <v>261</v>
      </c>
      <c r="E14" s="201">
        <f>ROUND(C14/G14,1)</f>
        <v>17.3</v>
      </c>
      <c r="F14" s="200" t="s">
        <v>274</v>
      </c>
      <c r="G14" s="200">
        <v>3</v>
      </c>
      <c r="H14" s="200" t="s">
        <v>263</v>
      </c>
    </row>
    <row r="15" spans="1:24" x14ac:dyDescent="0.3">
      <c r="A15" s="200">
        <v>6</v>
      </c>
      <c r="B15" t="s">
        <v>275</v>
      </c>
      <c r="C15" s="258">
        <f>K8*2</f>
        <v>200</v>
      </c>
      <c r="D15" s="200" t="s">
        <v>254</v>
      </c>
      <c r="E15" s="201">
        <f>ROUND(C15/G15,1)</f>
        <v>66.7</v>
      </c>
      <c r="F15" s="200" t="s">
        <v>276</v>
      </c>
      <c r="G15" s="200">
        <v>3</v>
      </c>
      <c r="H15" s="200" t="s">
        <v>257</v>
      </c>
    </row>
    <row r="16" spans="1:24" x14ac:dyDescent="0.3">
      <c r="A16" s="200">
        <v>7</v>
      </c>
      <c r="B16" t="s">
        <v>277</v>
      </c>
      <c r="C16" s="200">
        <f>ROUND(0.25*K$8*K$9,0)</f>
        <v>23</v>
      </c>
      <c r="D16" s="200" t="s">
        <v>261</v>
      </c>
      <c r="E16" s="201">
        <f>ROUND(C16/G16,1)</f>
        <v>7.7</v>
      </c>
      <c r="F16" s="200" t="s">
        <v>268</v>
      </c>
      <c r="G16" s="200">
        <v>3</v>
      </c>
      <c r="H16" s="200" t="s">
        <v>263</v>
      </c>
    </row>
    <row r="17" spans="1:16" x14ac:dyDescent="0.3">
      <c r="A17" s="200"/>
      <c r="C17" s="200"/>
      <c r="D17" s="200"/>
      <c r="E17" s="201"/>
      <c r="F17" s="200" t="s">
        <v>274</v>
      </c>
      <c r="G17" s="200"/>
      <c r="H17" s="200"/>
    </row>
    <row r="18" spans="1:16" ht="43.2" x14ac:dyDescent="0.3">
      <c r="A18" s="200">
        <v>8</v>
      </c>
      <c r="B18" s="172" t="s">
        <v>278</v>
      </c>
      <c r="C18" s="257">
        <v>60</v>
      </c>
      <c r="D18" s="200" t="s">
        <v>254</v>
      </c>
      <c r="E18" s="201">
        <v>12</v>
      </c>
      <c r="F18" s="202" t="s">
        <v>279</v>
      </c>
      <c r="G18" s="200">
        <v>6</v>
      </c>
      <c r="H18" s="200" t="s">
        <v>257</v>
      </c>
      <c r="J18" s="172" t="s">
        <v>280</v>
      </c>
      <c r="K18" s="174">
        <f>ROUND(K$7/K$8,0)</f>
        <v>4</v>
      </c>
      <c r="L18" s="174"/>
    </row>
    <row r="19" spans="1:16" x14ac:dyDescent="0.3">
      <c r="A19" s="200"/>
      <c r="C19" s="200"/>
      <c r="D19" s="200"/>
      <c r="E19" s="201"/>
      <c r="F19" s="200" t="s">
        <v>281</v>
      </c>
      <c r="G19" s="200"/>
      <c r="H19" s="200"/>
      <c r="K19" s="174"/>
      <c r="L19" s="203"/>
    </row>
    <row r="20" spans="1:16" x14ac:dyDescent="0.3">
      <c r="A20" s="200"/>
      <c r="C20" s="200"/>
      <c r="D20" s="200"/>
      <c r="E20" s="201"/>
      <c r="F20" s="200" t="s">
        <v>282</v>
      </c>
      <c r="G20" s="200"/>
      <c r="H20" s="200"/>
      <c r="J20" s="172" t="s">
        <v>283</v>
      </c>
      <c r="K20" s="173">
        <f>K18*E32</f>
        <v>740</v>
      </c>
      <c r="L20" s="174" t="s">
        <v>284</v>
      </c>
    </row>
    <row r="21" spans="1:16" ht="28.8" x14ac:dyDescent="0.3">
      <c r="A21" s="200">
        <v>9</v>
      </c>
      <c r="B21" s="172" t="s">
        <v>285</v>
      </c>
      <c r="C21" s="252">
        <f>ROUND(3.1416*K$6*8/1000,0)</f>
        <v>15</v>
      </c>
      <c r="D21" s="200" t="s">
        <v>254</v>
      </c>
      <c r="E21" s="201">
        <f>ROUND(C21/G21,1)</f>
        <v>15</v>
      </c>
      <c r="F21" s="200" t="s">
        <v>281</v>
      </c>
      <c r="G21" s="204">
        <v>1</v>
      </c>
      <c r="H21" s="200" t="s">
        <v>257</v>
      </c>
      <c r="J21" s="172" t="s">
        <v>286</v>
      </c>
      <c r="K21" s="174">
        <v>16</v>
      </c>
      <c r="L21" s="174" t="s">
        <v>284</v>
      </c>
    </row>
    <row r="22" spans="1:16" x14ac:dyDescent="0.3">
      <c r="A22" s="200"/>
      <c r="C22" s="200"/>
      <c r="D22" s="200"/>
      <c r="E22" s="201"/>
      <c r="F22" s="200" t="s">
        <v>282</v>
      </c>
      <c r="G22" s="204"/>
      <c r="H22" s="200"/>
      <c r="J22" s="172" t="s">
        <v>175</v>
      </c>
      <c r="K22" s="173">
        <f>ROUND(K20/K21,0)</f>
        <v>46</v>
      </c>
      <c r="L22" s="174" t="s">
        <v>176</v>
      </c>
    </row>
    <row r="23" spans="1:16" ht="43.2" x14ac:dyDescent="0.3">
      <c r="A23" s="200"/>
      <c r="C23" s="200"/>
      <c r="D23" s="200"/>
      <c r="E23" s="201"/>
      <c r="F23" s="200"/>
      <c r="G23" s="200"/>
      <c r="H23" s="200"/>
      <c r="J23" s="172" t="s">
        <v>177</v>
      </c>
      <c r="K23" s="173">
        <f>ROUND(N23*K22,0)</f>
        <v>13</v>
      </c>
      <c r="L23" s="174" t="s">
        <v>176</v>
      </c>
      <c r="M23">
        <f>365-262</f>
        <v>103</v>
      </c>
      <c r="N23">
        <f>M23/365</f>
        <v>0.28219178082191781</v>
      </c>
      <c r="O23" s="263" t="s">
        <v>362</v>
      </c>
      <c r="P23" s="263" t="s">
        <v>363</v>
      </c>
    </row>
    <row r="24" spans="1:16" ht="28.8" x14ac:dyDescent="0.3">
      <c r="A24" s="200">
        <v>10</v>
      </c>
      <c r="B24" s="172" t="s">
        <v>287</v>
      </c>
      <c r="C24" s="200">
        <f>ROUND((K$10*K$8*K$9)-((K$6/1000)^2*3.1416/4)-C16,0)</f>
        <v>238</v>
      </c>
      <c r="D24" s="200" t="s">
        <v>261</v>
      </c>
      <c r="E24" s="201">
        <f>ROUND(C24/G24,1)</f>
        <v>29.8</v>
      </c>
      <c r="F24" s="200" t="s">
        <v>268</v>
      </c>
      <c r="G24" s="200">
        <v>8</v>
      </c>
      <c r="H24" s="200" t="s">
        <v>263</v>
      </c>
      <c r="J24" s="172" t="s">
        <v>288</v>
      </c>
      <c r="K24" s="173">
        <f>K22+K23</f>
        <v>59</v>
      </c>
      <c r="L24" s="174" t="s">
        <v>176</v>
      </c>
      <c r="O24" s="262">
        <f>K7/K24</f>
        <v>6.7796610169491522</v>
      </c>
      <c r="P24" s="261" t="s">
        <v>361</v>
      </c>
    </row>
    <row r="25" spans="1:16" x14ac:dyDescent="0.3">
      <c r="A25" s="200"/>
      <c r="B25" s="172"/>
      <c r="C25" s="200"/>
      <c r="D25" s="200"/>
      <c r="E25" s="201"/>
      <c r="F25" s="200" t="s">
        <v>289</v>
      </c>
      <c r="G25" s="200"/>
      <c r="H25" s="200"/>
      <c r="J25" s="172"/>
      <c r="K25" s="205"/>
      <c r="L25" s="171"/>
      <c r="O25" s="261"/>
      <c r="P25" s="261"/>
    </row>
    <row r="26" spans="1:16" x14ac:dyDescent="0.3">
      <c r="A26" s="200"/>
      <c r="C26" s="200"/>
      <c r="D26" s="200"/>
      <c r="E26" s="201"/>
      <c r="F26" s="200" t="s">
        <v>290</v>
      </c>
      <c r="G26" s="200"/>
      <c r="H26" s="200"/>
      <c r="K26" s="171"/>
      <c r="L26" s="171"/>
      <c r="O26" s="261"/>
      <c r="P26" s="261"/>
    </row>
    <row r="27" spans="1:16" x14ac:dyDescent="0.3">
      <c r="A27" s="200"/>
      <c r="C27" s="200"/>
      <c r="D27" s="200"/>
      <c r="E27" s="201"/>
      <c r="F27" s="200" t="s">
        <v>291</v>
      </c>
      <c r="G27" s="200"/>
      <c r="H27" s="200"/>
      <c r="J27" s="235" t="s">
        <v>292</v>
      </c>
      <c r="K27" s="236">
        <f>ROUND(K24/5,0)</f>
        <v>12</v>
      </c>
      <c r="L27" s="237" t="s">
        <v>176</v>
      </c>
      <c r="O27" s="262">
        <f>K7/K27</f>
        <v>33.333333333333336</v>
      </c>
      <c r="P27" s="261" t="s">
        <v>235</v>
      </c>
    </row>
    <row r="28" spans="1:16" x14ac:dyDescent="0.3">
      <c r="A28" s="200">
        <v>11</v>
      </c>
      <c r="B28" t="s">
        <v>293</v>
      </c>
      <c r="C28" s="200">
        <f>ROUND(0.025*K$8*K$9,0)</f>
        <v>2</v>
      </c>
      <c r="D28" s="200" t="s">
        <v>261</v>
      </c>
      <c r="E28" s="201">
        <f>ROUND(C28/G28,1)</f>
        <v>2</v>
      </c>
      <c r="F28" s="200" t="s">
        <v>294</v>
      </c>
      <c r="G28" s="204">
        <v>1</v>
      </c>
      <c r="H28" s="200" t="s">
        <v>263</v>
      </c>
      <c r="J28" s="235" t="s">
        <v>295</v>
      </c>
      <c r="K28" s="236">
        <f>ROUND(K24/10,0)</f>
        <v>6</v>
      </c>
      <c r="L28" s="237" t="s">
        <v>176</v>
      </c>
      <c r="O28" s="262">
        <f>K7/K28</f>
        <v>66.666666666666671</v>
      </c>
      <c r="P28" s="261" t="s">
        <v>236</v>
      </c>
    </row>
    <row r="29" spans="1:16" x14ac:dyDescent="0.3">
      <c r="A29" s="200"/>
      <c r="C29" s="200"/>
      <c r="D29" s="200"/>
      <c r="E29" s="201"/>
      <c r="F29" s="200" t="s">
        <v>296</v>
      </c>
      <c r="G29" s="204"/>
      <c r="H29" s="200"/>
    </row>
    <row r="30" spans="1:16" ht="28.8" x14ac:dyDescent="0.3">
      <c r="A30" s="200">
        <v>12</v>
      </c>
      <c r="B30" s="172" t="s">
        <v>297</v>
      </c>
      <c r="C30" s="200">
        <f>ROUND(K$8*2+(K$9*2),0)</f>
        <v>202</v>
      </c>
      <c r="D30" s="200" t="s">
        <v>254</v>
      </c>
      <c r="E30" s="201">
        <f>ROUND(C30/G30,1)</f>
        <v>10.1</v>
      </c>
      <c r="F30" s="200" t="s">
        <v>266</v>
      </c>
      <c r="G30" s="206">
        <v>20</v>
      </c>
      <c r="H30" s="200" t="s">
        <v>257</v>
      </c>
    </row>
    <row r="31" spans="1:16" x14ac:dyDescent="0.3">
      <c r="A31" s="200">
        <v>13</v>
      </c>
      <c r="B31" t="s">
        <v>298</v>
      </c>
      <c r="C31" s="251"/>
      <c r="D31" s="251"/>
      <c r="E31" s="253"/>
      <c r="F31" s="200" t="s">
        <v>299</v>
      </c>
      <c r="G31" s="254"/>
      <c r="H31" s="254"/>
    </row>
    <row r="32" spans="1:16" x14ac:dyDescent="0.3">
      <c r="A32" s="200"/>
      <c r="C32" s="200"/>
      <c r="D32" s="200"/>
      <c r="E32" s="207">
        <f>ROUND(SUM(E8:E31),0)</f>
        <v>185</v>
      </c>
      <c r="F32" s="171" t="s">
        <v>300</v>
      </c>
    </row>
    <row r="33" spans="1:8" x14ac:dyDescent="0.3">
      <c r="A33" s="200"/>
      <c r="E33" s="208"/>
      <c r="F33" s="255" t="s">
        <v>349</v>
      </c>
    </row>
    <row r="34" spans="1:8" x14ac:dyDescent="0.3">
      <c r="A34" s="209"/>
      <c r="E34" s="208"/>
    </row>
    <row r="35" spans="1:8" x14ac:dyDescent="0.3">
      <c r="A35" s="209"/>
      <c r="E35" s="208"/>
    </row>
    <row r="36" spans="1:8" x14ac:dyDescent="0.3">
      <c r="A36" s="209"/>
      <c r="E36" s="208"/>
    </row>
    <row r="37" spans="1:8" x14ac:dyDescent="0.3">
      <c r="A37" s="209"/>
      <c r="E37" s="210"/>
    </row>
    <row r="42" spans="1:8" x14ac:dyDescent="0.3">
      <c r="H42" s="210"/>
    </row>
  </sheetData>
  <mergeCells count="1">
    <mergeCell ref="G6:H6"/>
  </mergeCells>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8A0F42-8634-4A8E-89D5-4F9702CC4313}">
  <sheetPr>
    <tabColor rgb="FFFFC000"/>
    <pageSetUpPr fitToPage="1"/>
  </sheetPr>
  <dimension ref="A1:AO41"/>
  <sheetViews>
    <sheetView zoomScale="70" zoomScaleNormal="70" workbookViewId="0">
      <selection activeCell="AK14" sqref="AK14:AO14"/>
    </sheetView>
  </sheetViews>
  <sheetFormatPr defaultColWidth="9.109375" defaultRowHeight="13.8" x14ac:dyDescent="0.25"/>
  <cols>
    <col min="1" max="1" width="2.33203125" style="8" customWidth="1"/>
    <col min="2" max="2" width="16.109375" style="8" customWidth="1"/>
    <col min="3" max="3" width="12.33203125" style="8" customWidth="1"/>
    <col min="4" max="4" width="11" style="8" customWidth="1"/>
    <col min="5" max="5" width="60.6640625" style="8" customWidth="1"/>
    <col min="6" max="6" width="9" style="8" customWidth="1"/>
    <col min="7" max="7" width="60.6640625" style="8" customWidth="1"/>
    <col min="8" max="8" width="9.44140625" style="8" customWidth="1"/>
    <col min="9" max="9" width="60.6640625" style="8" customWidth="1"/>
    <col min="10" max="10" width="10.77734375" style="8" customWidth="1"/>
    <col min="11" max="11" width="60.6640625" style="8" customWidth="1"/>
    <col min="12" max="12" width="9.109375" style="33" customWidth="1"/>
    <col min="13" max="13" width="14.6640625" style="8" customWidth="1"/>
    <col min="14" max="14" width="12.6640625" style="8" customWidth="1"/>
    <col min="15" max="15" width="11.21875" style="8" customWidth="1"/>
    <col min="16" max="16" width="11.88671875" style="8" customWidth="1"/>
    <col min="17" max="17" width="13.44140625" style="8" customWidth="1"/>
    <col min="18" max="18" width="12.88671875" style="8" customWidth="1"/>
    <col min="19" max="19" width="9.109375" style="33"/>
    <col min="20" max="32" width="19.6640625" style="8" customWidth="1"/>
    <col min="33" max="35" width="9.109375" style="8"/>
    <col min="36" max="36" width="11.77734375" style="8" customWidth="1"/>
    <col min="37" max="41" width="35.77734375" style="8" customWidth="1"/>
    <col min="42" max="16384" width="9.109375" style="8"/>
  </cols>
  <sheetData>
    <row r="1" spans="1:41" ht="14.25" customHeight="1" x14ac:dyDescent="0.25">
      <c r="A1" s="7"/>
      <c r="B1" s="7"/>
      <c r="C1" s="7"/>
      <c r="D1" s="7"/>
      <c r="E1" s="7"/>
      <c r="F1" s="7"/>
      <c r="H1" s="7"/>
      <c r="I1" s="7"/>
      <c r="J1" s="7"/>
      <c r="K1" s="7"/>
      <c r="L1" s="32"/>
      <c r="M1" s="7"/>
      <c r="N1" s="7"/>
      <c r="O1" s="7"/>
      <c r="P1" s="7"/>
      <c r="Q1" s="7"/>
      <c r="R1" s="7"/>
      <c r="S1" s="32"/>
      <c r="T1" s="7"/>
      <c r="U1" s="7"/>
      <c r="V1" s="7"/>
      <c r="W1" s="7"/>
      <c r="X1" s="7"/>
      <c r="Y1" s="7"/>
      <c r="Z1" s="7"/>
      <c r="AA1" s="7"/>
      <c r="AB1" s="7"/>
      <c r="AC1" s="7"/>
      <c r="AD1" s="7"/>
      <c r="AE1" s="7"/>
    </row>
    <row r="2" spans="1:41" ht="16.2" thickBot="1" x14ac:dyDescent="0.35">
      <c r="A2" s="7"/>
      <c r="B2" s="15" t="s">
        <v>0</v>
      </c>
      <c r="C2" s="7"/>
      <c r="D2" s="7"/>
      <c r="E2" s="7"/>
      <c r="F2" s="7"/>
      <c r="G2" s="7"/>
      <c r="H2" s="7"/>
      <c r="I2" s="7"/>
      <c r="J2" s="7"/>
      <c r="K2" s="7"/>
      <c r="L2" s="32"/>
      <c r="M2" s="15" t="s">
        <v>1</v>
      </c>
      <c r="N2" s="7"/>
      <c r="O2" s="7"/>
      <c r="P2" s="7"/>
      <c r="Q2" s="7"/>
      <c r="R2" s="7"/>
      <c r="S2" s="32"/>
      <c r="T2" s="15" t="s">
        <v>2</v>
      </c>
      <c r="U2" s="7"/>
      <c r="V2" s="7"/>
      <c r="W2" s="7"/>
      <c r="X2" s="7"/>
      <c r="Y2" s="7"/>
      <c r="Z2" s="7"/>
      <c r="AA2" s="7"/>
      <c r="AB2" s="7"/>
      <c r="AC2" s="7"/>
      <c r="AD2" s="7"/>
      <c r="AE2" s="7"/>
    </row>
    <row r="3" spans="1:41" ht="22.8" customHeight="1" x14ac:dyDescent="0.25">
      <c r="A3" s="7"/>
      <c r="B3" s="360" t="s">
        <v>3</v>
      </c>
      <c r="C3" s="362" t="s">
        <v>4</v>
      </c>
      <c r="D3" s="364" t="s">
        <v>139</v>
      </c>
      <c r="E3" s="364"/>
      <c r="F3" s="364" t="s">
        <v>140</v>
      </c>
      <c r="G3" s="364"/>
      <c r="H3" s="364" t="s">
        <v>141</v>
      </c>
      <c r="I3" s="364"/>
      <c r="J3" s="364" t="s">
        <v>142</v>
      </c>
      <c r="K3" s="365"/>
      <c r="L3" s="32"/>
      <c r="M3" s="366" t="s">
        <v>3</v>
      </c>
      <c r="N3" s="364" t="s">
        <v>13</v>
      </c>
      <c r="O3" s="369" t="s">
        <v>14</v>
      </c>
      <c r="P3" s="369"/>
      <c r="Q3" s="369"/>
      <c r="R3" s="370"/>
      <c r="S3" s="32"/>
      <c r="T3" s="371"/>
      <c r="U3" s="354" t="s">
        <v>15</v>
      </c>
      <c r="V3" s="354" t="s">
        <v>16</v>
      </c>
      <c r="W3" s="354" t="s">
        <v>17</v>
      </c>
      <c r="X3" s="354" t="s">
        <v>18</v>
      </c>
      <c r="Y3" s="354" t="s">
        <v>19</v>
      </c>
      <c r="Z3" s="354" t="s">
        <v>20</v>
      </c>
      <c r="AA3" s="354" t="s">
        <v>21</v>
      </c>
      <c r="AB3" s="354" t="s">
        <v>22</v>
      </c>
      <c r="AC3" s="354" t="s">
        <v>238</v>
      </c>
      <c r="AD3" s="354" t="s">
        <v>23</v>
      </c>
      <c r="AE3" s="356" t="s">
        <v>24</v>
      </c>
      <c r="AF3" s="358" t="s">
        <v>25</v>
      </c>
      <c r="AG3" s="7"/>
      <c r="AJ3" s="29" t="s">
        <v>56</v>
      </c>
      <c r="AK3" s="7"/>
      <c r="AL3" s="7"/>
      <c r="AM3" s="7"/>
      <c r="AN3" s="7"/>
      <c r="AO3" s="7"/>
    </row>
    <row r="4" spans="1:41" ht="35.4" customHeight="1" thickBot="1" x14ac:dyDescent="0.3">
      <c r="A4" s="9"/>
      <c r="B4" s="361"/>
      <c r="C4" s="363"/>
      <c r="D4" s="113" t="s">
        <v>14</v>
      </c>
      <c r="E4" s="113" t="s">
        <v>26</v>
      </c>
      <c r="F4" s="113" t="s">
        <v>14</v>
      </c>
      <c r="G4" s="113" t="s">
        <v>26</v>
      </c>
      <c r="H4" s="113" t="s">
        <v>14</v>
      </c>
      <c r="I4" s="113" t="s">
        <v>26</v>
      </c>
      <c r="J4" s="113" t="s">
        <v>14</v>
      </c>
      <c r="K4" s="114" t="s">
        <v>26</v>
      </c>
      <c r="L4" s="32"/>
      <c r="M4" s="367"/>
      <c r="N4" s="368"/>
      <c r="O4" s="113" t="s">
        <v>139</v>
      </c>
      <c r="P4" s="113" t="s">
        <v>140</v>
      </c>
      <c r="Q4" s="113" t="s">
        <v>141</v>
      </c>
      <c r="R4" s="114" t="s">
        <v>142</v>
      </c>
      <c r="S4" s="32"/>
      <c r="T4" s="372"/>
      <c r="U4" s="355"/>
      <c r="V4" s="355"/>
      <c r="W4" s="355"/>
      <c r="X4" s="355"/>
      <c r="Y4" s="355"/>
      <c r="Z4" s="355"/>
      <c r="AA4" s="355"/>
      <c r="AB4" s="355"/>
      <c r="AC4" s="355"/>
      <c r="AD4" s="355"/>
      <c r="AE4" s="357"/>
      <c r="AF4" s="359"/>
      <c r="AG4" s="9"/>
      <c r="AJ4" s="195" t="s">
        <v>14</v>
      </c>
      <c r="AK4" s="195">
        <v>5</v>
      </c>
      <c r="AL4" s="195">
        <v>4</v>
      </c>
      <c r="AM4" s="195">
        <v>3</v>
      </c>
      <c r="AN4" s="195">
        <v>2</v>
      </c>
      <c r="AO4" s="195">
        <v>1</v>
      </c>
    </row>
    <row r="5" spans="1:41" ht="62.4" customHeight="1" x14ac:dyDescent="0.25">
      <c r="A5" s="7"/>
      <c r="B5" s="50" t="s">
        <v>15</v>
      </c>
      <c r="C5" s="51">
        <f t="shared" ref="C5:D14" si="0">N5</f>
        <v>8.6021505376344093E-2</v>
      </c>
      <c r="D5" s="52">
        <f t="shared" si="0"/>
        <v>4</v>
      </c>
      <c r="E5" s="53" t="s">
        <v>31</v>
      </c>
      <c r="F5" s="52">
        <f t="shared" ref="F5:F14" si="1">P5</f>
        <v>4</v>
      </c>
      <c r="G5" s="53" t="s">
        <v>31</v>
      </c>
      <c r="H5" s="52">
        <f t="shared" ref="H5:H14" si="2">Q5</f>
        <v>4</v>
      </c>
      <c r="I5" s="53" t="s">
        <v>31</v>
      </c>
      <c r="J5" s="52">
        <f>R5</f>
        <v>4</v>
      </c>
      <c r="K5" s="55" t="s">
        <v>31</v>
      </c>
      <c r="L5" s="32"/>
      <c r="M5" s="50" t="s">
        <v>15</v>
      </c>
      <c r="N5" s="51">
        <f t="shared" ref="N5:N14" si="3">AF5</f>
        <v>8.6021505376344093E-2</v>
      </c>
      <c r="O5" s="52">
        <v>4</v>
      </c>
      <c r="P5" s="52">
        <v>4</v>
      </c>
      <c r="Q5" s="52">
        <v>4</v>
      </c>
      <c r="R5" s="121">
        <v>4</v>
      </c>
      <c r="S5" s="32"/>
      <c r="T5" s="18" t="s">
        <v>15</v>
      </c>
      <c r="U5" s="25"/>
      <c r="V5" s="96">
        <v>2</v>
      </c>
      <c r="W5" s="96">
        <v>1</v>
      </c>
      <c r="X5" s="96">
        <v>2</v>
      </c>
      <c r="Y5" s="96">
        <v>0</v>
      </c>
      <c r="Z5" s="96">
        <v>1</v>
      </c>
      <c r="AA5" s="96">
        <v>0</v>
      </c>
      <c r="AB5" s="96">
        <v>0</v>
      </c>
      <c r="AC5" s="189">
        <v>1</v>
      </c>
      <c r="AD5" s="97">
        <v>1</v>
      </c>
      <c r="AE5" s="16">
        <f t="shared" ref="AE5:AE14" si="4">SUM(U5:AD5)</f>
        <v>8</v>
      </c>
      <c r="AF5" s="26">
        <f t="shared" ref="AF5:AF14" si="5">AE5/$AE$15</f>
        <v>8.6021505376344093E-2</v>
      </c>
      <c r="AG5" s="7"/>
      <c r="AJ5" s="196" t="s">
        <v>21</v>
      </c>
      <c r="AK5" s="146" t="s">
        <v>394</v>
      </c>
      <c r="AL5" s="146" t="s">
        <v>395</v>
      </c>
      <c r="AM5" s="146" t="s">
        <v>396</v>
      </c>
      <c r="AN5" s="146" t="s">
        <v>323</v>
      </c>
      <c r="AO5" s="146" t="s">
        <v>397</v>
      </c>
    </row>
    <row r="6" spans="1:41" ht="53.4" customHeight="1" x14ac:dyDescent="0.25">
      <c r="A6" s="7"/>
      <c r="B6" s="50" t="s">
        <v>16</v>
      </c>
      <c r="C6" s="51">
        <f t="shared" si="0"/>
        <v>5.3763440860215055E-2</v>
      </c>
      <c r="D6" s="52">
        <f t="shared" si="0"/>
        <v>2</v>
      </c>
      <c r="E6" s="53" t="s">
        <v>301</v>
      </c>
      <c r="F6" s="52">
        <f t="shared" si="1"/>
        <v>4</v>
      </c>
      <c r="G6" s="53" t="s">
        <v>303</v>
      </c>
      <c r="H6" s="52">
        <f t="shared" si="2"/>
        <v>3</v>
      </c>
      <c r="I6" s="53" t="s">
        <v>401</v>
      </c>
      <c r="J6" s="52">
        <v>3</v>
      </c>
      <c r="K6" s="55" t="s">
        <v>304</v>
      </c>
      <c r="L6" s="32"/>
      <c r="M6" s="50" t="s">
        <v>16</v>
      </c>
      <c r="N6" s="51">
        <f t="shared" si="3"/>
        <v>5.3763440860215055E-2</v>
      </c>
      <c r="O6" s="122">
        <v>2</v>
      </c>
      <c r="P6" s="122">
        <v>4</v>
      </c>
      <c r="Q6" s="122">
        <v>3</v>
      </c>
      <c r="R6" s="123">
        <v>3</v>
      </c>
      <c r="S6" s="32"/>
      <c r="T6" s="19" t="s">
        <v>16</v>
      </c>
      <c r="U6" s="98">
        <v>0</v>
      </c>
      <c r="V6" s="27"/>
      <c r="W6" s="98">
        <v>1</v>
      </c>
      <c r="X6" s="98">
        <v>1</v>
      </c>
      <c r="Y6" s="98">
        <v>0</v>
      </c>
      <c r="Z6" s="98">
        <v>1</v>
      </c>
      <c r="AA6" s="98">
        <v>0</v>
      </c>
      <c r="AB6" s="98">
        <v>0</v>
      </c>
      <c r="AC6" s="190">
        <v>1</v>
      </c>
      <c r="AD6" s="99">
        <v>1</v>
      </c>
      <c r="AE6" s="17">
        <f t="shared" si="4"/>
        <v>5</v>
      </c>
      <c r="AF6" s="28">
        <f t="shared" si="5"/>
        <v>5.3763440860215055E-2</v>
      </c>
      <c r="AG6" s="7"/>
      <c r="AJ6" s="196" t="s">
        <v>15</v>
      </c>
      <c r="AK6" s="146" t="s">
        <v>62</v>
      </c>
      <c r="AL6" s="146" t="s">
        <v>63</v>
      </c>
      <c r="AM6" s="146" t="s">
        <v>64</v>
      </c>
      <c r="AN6" s="146" t="s">
        <v>65</v>
      </c>
      <c r="AO6" s="146" t="s">
        <v>66</v>
      </c>
    </row>
    <row r="7" spans="1:41" ht="66" x14ac:dyDescent="0.25">
      <c r="A7" s="7"/>
      <c r="B7" s="50" t="s">
        <v>39</v>
      </c>
      <c r="C7" s="51">
        <f t="shared" si="0"/>
        <v>5.3763440860215055E-2</v>
      </c>
      <c r="D7" s="52">
        <f t="shared" si="0"/>
        <v>4</v>
      </c>
      <c r="E7" s="53" t="s">
        <v>40</v>
      </c>
      <c r="F7" s="52">
        <f t="shared" si="1"/>
        <v>2</v>
      </c>
      <c r="G7" s="53" t="s">
        <v>41</v>
      </c>
      <c r="H7" s="52">
        <f t="shared" si="2"/>
        <v>2</v>
      </c>
      <c r="I7" s="53" t="s">
        <v>41</v>
      </c>
      <c r="J7" s="52">
        <f t="shared" ref="J7:J14" si="6">R7</f>
        <v>2</v>
      </c>
      <c r="K7" s="55" t="s">
        <v>41</v>
      </c>
      <c r="L7" s="32"/>
      <c r="M7" s="50" t="s">
        <v>39</v>
      </c>
      <c r="N7" s="51">
        <f t="shared" si="3"/>
        <v>5.3763440860215055E-2</v>
      </c>
      <c r="O7" s="52">
        <v>4</v>
      </c>
      <c r="P7" s="52">
        <v>2</v>
      </c>
      <c r="Q7" s="52">
        <v>2</v>
      </c>
      <c r="R7" s="121">
        <v>2</v>
      </c>
      <c r="S7" s="32"/>
      <c r="T7" s="19" t="s">
        <v>42</v>
      </c>
      <c r="U7" s="98">
        <v>1</v>
      </c>
      <c r="V7" s="98">
        <v>1</v>
      </c>
      <c r="W7" s="27"/>
      <c r="X7" s="98">
        <v>1</v>
      </c>
      <c r="Y7" s="98">
        <v>0</v>
      </c>
      <c r="Z7" s="98">
        <v>1</v>
      </c>
      <c r="AA7" s="98">
        <v>0</v>
      </c>
      <c r="AB7" s="98">
        <v>0</v>
      </c>
      <c r="AC7" s="190">
        <v>0</v>
      </c>
      <c r="AD7" s="99">
        <v>1</v>
      </c>
      <c r="AE7" s="17">
        <f t="shared" si="4"/>
        <v>5</v>
      </c>
      <c r="AF7" s="28">
        <f t="shared" si="5"/>
        <v>5.3763440860215055E-2</v>
      </c>
      <c r="AG7" s="7"/>
      <c r="AJ7" s="196" t="s">
        <v>16</v>
      </c>
      <c r="AK7" s="144" t="s">
        <v>67</v>
      </c>
      <c r="AL7" s="144" t="s">
        <v>68</v>
      </c>
      <c r="AM7" s="144" t="s">
        <v>69</v>
      </c>
      <c r="AN7" s="144" t="s">
        <v>70</v>
      </c>
      <c r="AO7" s="144" t="s">
        <v>71</v>
      </c>
    </row>
    <row r="8" spans="1:41" ht="91.95" customHeight="1" x14ac:dyDescent="0.25">
      <c r="A8" s="7"/>
      <c r="B8" s="50" t="s">
        <v>18</v>
      </c>
      <c r="C8" s="51">
        <f t="shared" si="0"/>
        <v>4.3010752688172046E-2</v>
      </c>
      <c r="D8" s="52">
        <f t="shared" si="0"/>
        <v>4</v>
      </c>
      <c r="E8" s="53" t="s">
        <v>402</v>
      </c>
      <c r="F8" s="52">
        <f t="shared" si="1"/>
        <v>3</v>
      </c>
      <c r="G8" s="53" t="s">
        <v>403</v>
      </c>
      <c r="H8" s="52">
        <f t="shared" si="2"/>
        <v>3</v>
      </c>
      <c r="I8" s="53" t="s">
        <v>403</v>
      </c>
      <c r="J8" s="52">
        <f t="shared" si="6"/>
        <v>3</v>
      </c>
      <c r="K8" s="55" t="s">
        <v>403</v>
      </c>
      <c r="L8" s="32"/>
      <c r="M8" s="50" t="s">
        <v>18</v>
      </c>
      <c r="N8" s="51">
        <f t="shared" si="3"/>
        <v>4.3010752688172046E-2</v>
      </c>
      <c r="O8" s="52">
        <v>4</v>
      </c>
      <c r="P8" s="52">
        <v>3</v>
      </c>
      <c r="Q8" s="52">
        <v>3</v>
      </c>
      <c r="R8" s="121">
        <v>3</v>
      </c>
      <c r="S8" s="32"/>
      <c r="T8" s="19" t="s">
        <v>18</v>
      </c>
      <c r="U8" s="98">
        <v>0</v>
      </c>
      <c r="V8" s="98">
        <v>1</v>
      </c>
      <c r="W8" s="98">
        <v>1</v>
      </c>
      <c r="X8" s="27"/>
      <c r="Y8" s="98">
        <v>0</v>
      </c>
      <c r="Z8" s="98">
        <v>1</v>
      </c>
      <c r="AA8" s="98">
        <v>0</v>
      </c>
      <c r="AB8" s="98">
        <v>0</v>
      </c>
      <c r="AC8" s="190">
        <v>0</v>
      </c>
      <c r="AD8" s="99">
        <v>1</v>
      </c>
      <c r="AE8" s="17">
        <f t="shared" si="4"/>
        <v>4</v>
      </c>
      <c r="AF8" s="28">
        <f t="shared" si="5"/>
        <v>4.3010752688172046E-2</v>
      </c>
      <c r="AG8" s="7"/>
      <c r="AJ8" s="196" t="s">
        <v>39</v>
      </c>
      <c r="AK8" s="144" t="s">
        <v>72</v>
      </c>
      <c r="AL8" s="144" t="s">
        <v>73</v>
      </c>
      <c r="AM8" s="144" t="s">
        <v>74</v>
      </c>
      <c r="AN8" s="144" t="s">
        <v>75</v>
      </c>
      <c r="AO8" s="144" t="s">
        <v>76</v>
      </c>
    </row>
    <row r="9" spans="1:41" ht="92.4" x14ac:dyDescent="0.25">
      <c r="A9" s="7"/>
      <c r="B9" s="50" t="s">
        <v>19</v>
      </c>
      <c r="C9" s="51">
        <f t="shared" si="0"/>
        <v>0.15053763440860216</v>
      </c>
      <c r="D9" s="52">
        <f t="shared" si="0"/>
        <v>5</v>
      </c>
      <c r="E9" s="53" t="s">
        <v>404</v>
      </c>
      <c r="F9" s="56">
        <f t="shared" si="1"/>
        <v>3</v>
      </c>
      <c r="G9" s="53" t="s">
        <v>405</v>
      </c>
      <c r="H9" s="56">
        <f t="shared" si="2"/>
        <v>3</v>
      </c>
      <c r="I9" s="53" t="s">
        <v>405</v>
      </c>
      <c r="J9" s="56">
        <f t="shared" si="6"/>
        <v>3</v>
      </c>
      <c r="K9" s="55" t="s">
        <v>405</v>
      </c>
      <c r="L9" s="32"/>
      <c r="M9" s="50" t="s">
        <v>19</v>
      </c>
      <c r="N9" s="51">
        <f t="shared" si="3"/>
        <v>0.15053763440860216</v>
      </c>
      <c r="O9" s="52">
        <v>5</v>
      </c>
      <c r="P9" s="52">
        <v>3</v>
      </c>
      <c r="Q9" s="52">
        <v>3</v>
      </c>
      <c r="R9" s="121">
        <v>3</v>
      </c>
      <c r="S9" s="32"/>
      <c r="T9" s="19" t="s">
        <v>19</v>
      </c>
      <c r="U9" s="98">
        <v>2</v>
      </c>
      <c r="V9" s="98">
        <v>2</v>
      </c>
      <c r="W9" s="98">
        <v>2</v>
      </c>
      <c r="X9" s="98">
        <v>2</v>
      </c>
      <c r="Y9" s="27"/>
      <c r="Z9" s="98">
        <v>2</v>
      </c>
      <c r="AA9" s="98">
        <v>1</v>
      </c>
      <c r="AB9" s="98">
        <v>1</v>
      </c>
      <c r="AC9" s="190">
        <v>1</v>
      </c>
      <c r="AD9" s="99">
        <v>1</v>
      </c>
      <c r="AE9" s="17">
        <f t="shared" si="4"/>
        <v>14</v>
      </c>
      <c r="AF9" s="28">
        <f t="shared" si="5"/>
        <v>0.15053763440860216</v>
      </c>
      <c r="AG9" s="7"/>
      <c r="AJ9" s="196" t="s">
        <v>18</v>
      </c>
      <c r="AK9" s="144" t="s">
        <v>417</v>
      </c>
      <c r="AL9" s="144" t="s">
        <v>418</v>
      </c>
      <c r="AM9" s="144" t="s">
        <v>419</v>
      </c>
      <c r="AN9" s="144" t="s">
        <v>420</v>
      </c>
      <c r="AO9" s="144" t="s">
        <v>421</v>
      </c>
    </row>
    <row r="10" spans="1:41" ht="116.4" customHeight="1" x14ac:dyDescent="0.25">
      <c r="A10" s="7"/>
      <c r="B10" s="57" t="s">
        <v>20</v>
      </c>
      <c r="C10" s="58">
        <f t="shared" si="0"/>
        <v>5.3763440860215055E-2</v>
      </c>
      <c r="D10" s="52">
        <f t="shared" si="0"/>
        <v>2</v>
      </c>
      <c r="E10" s="53" t="s">
        <v>429</v>
      </c>
      <c r="F10" s="52">
        <f t="shared" si="1"/>
        <v>3</v>
      </c>
      <c r="G10" s="53" t="s">
        <v>430</v>
      </c>
      <c r="H10" s="52">
        <f t="shared" si="2"/>
        <v>3</v>
      </c>
      <c r="I10" s="53" t="s">
        <v>431</v>
      </c>
      <c r="J10" s="52">
        <f t="shared" si="6"/>
        <v>3</v>
      </c>
      <c r="K10" s="55" t="s">
        <v>406</v>
      </c>
      <c r="L10" s="32"/>
      <c r="M10" s="50" t="s">
        <v>20</v>
      </c>
      <c r="N10" s="51">
        <f t="shared" si="3"/>
        <v>5.3763440860215055E-2</v>
      </c>
      <c r="O10" s="52">
        <v>2</v>
      </c>
      <c r="P10" s="52">
        <v>3</v>
      </c>
      <c r="Q10" s="52">
        <v>3</v>
      </c>
      <c r="R10" s="121">
        <v>3</v>
      </c>
      <c r="S10" s="32"/>
      <c r="T10" s="19" t="s">
        <v>20</v>
      </c>
      <c r="U10" s="98">
        <v>1</v>
      </c>
      <c r="V10" s="98">
        <v>1</v>
      </c>
      <c r="W10" s="98">
        <v>1</v>
      </c>
      <c r="X10" s="98">
        <v>1</v>
      </c>
      <c r="Y10" s="98">
        <v>0</v>
      </c>
      <c r="Z10" s="27"/>
      <c r="AA10" s="98">
        <v>0</v>
      </c>
      <c r="AB10" s="98">
        <v>0</v>
      </c>
      <c r="AC10" s="190">
        <v>0</v>
      </c>
      <c r="AD10" s="99">
        <v>1</v>
      </c>
      <c r="AE10" s="17">
        <f t="shared" si="4"/>
        <v>5</v>
      </c>
      <c r="AF10" s="28">
        <f t="shared" si="5"/>
        <v>5.3763440860215055E-2</v>
      </c>
      <c r="AG10" s="7"/>
      <c r="AJ10" s="197" t="s">
        <v>19</v>
      </c>
      <c r="AK10" s="146" t="s">
        <v>82</v>
      </c>
      <c r="AL10" s="146" t="s">
        <v>83</v>
      </c>
      <c r="AM10" s="146" t="s">
        <v>84</v>
      </c>
      <c r="AN10" s="146" t="s">
        <v>85</v>
      </c>
      <c r="AO10" s="146" t="s">
        <v>86</v>
      </c>
    </row>
    <row r="11" spans="1:41" ht="44.4" customHeight="1" x14ac:dyDescent="0.25">
      <c r="A11" s="7"/>
      <c r="B11" s="50" t="s">
        <v>21</v>
      </c>
      <c r="C11" s="51">
        <f t="shared" si="0"/>
        <v>0.15053763440860216</v>
      </c>
      <c r="D11" s="52">
        <f t="shared" si="0"/>
        <v>2</v>
      </c>
      <c r="E11" s="53" t="s">
        <v>407</v>
      </c>
      <c r="F11" s="52">
        <f t="shared" si="1"/>
        <v>3</v>
      </c>
      <c r="G11" s="53" t="s">
        <v>309</v>
      </c>
      <c r="H11" s="52">
        <f t="shared" si="2"/>
        <v>3</v>
      </c>
      <c r="I11" s="53" t="s">
        <v>310</v>
      </c>
      <c r="J11" s="52">
        <f t="shared" si="6"/>
        <v>3</v>
      </c>
      <c r="K11" s="55" t="s">
        <v>309</v>
      </c>
      <c r="L11" s="32"/>
      <c r="M11" s="50" t="s">
        <v>21</v>
      </c>
      <c r="N11" s="51">
        <f t="shared" si="3"/>
        <v>0.15053763440860216</v>
      </c>
      <c r="O11" s="52">
        <v>2</v>
      </c>
      <c r="P11" s="52">
        <v>3</v>
      </c>
      <c r="Q11" s="52">
        <v>3</v>
      </c>
      <c r="R11" s="121">
        <v>3</v>
      </c>
      <c r="S11" s="32"/>
      <c r="T11" s="19" t="s">
        <v>21</v>
      </c>
      <c r="U11" s="98">
        <v>2</v>
      </c>
      <c r="V11" s="98">
        <v>2</v>
      </c>
      <c r="W11" s="98">
        <v>2</v>
      </c>
      <c r="X11" s="98">
        <v>2</v>
      </c>
      <c r="Y11" s="98">
        <v>1</v>
      </c>
      <c r="Z11" s="98">
        <v>2</v>
      </c>
      <c r="AA11" s="27"/>
      <c r="AB11" s="98">
        <v>1</v>
      </c>
      <c r="AC11" s="190">
        <v>1</v>
      </c>
      <c r="AD11" s="99">
        <v>1</v>
      </c>
      <c r="AE11" s="17">
        <f t="shared" si="4"/>
        <v>14</v>
      </c>
      <c r="AF11" s="28">
        <f t="shared" si="5"/>
        <v>0.15053763440860216</v>
      </c>
      <c r="AG11" s="7"/>
      <c r="AJ11" s="197" t="s">
        <v>20</v>
      </c>
      <c r="AK11" s="146" t="s">
        <v>422</v>
      </c>
      <c r="AL11" s="146" t="s">
        <v>88</v>
      </c>
      <c r="AM11" s="146" t="s">
        <v>423</v>
      </c>
      <c r="AN11" s="146" t="s">
        <v>424</v>
      </c>
      <c r="AO11" s="146" t="s">
        <v>425</v>
      </c>
    </row>
    <row r="12" spans="1:41" ht="75" customHeight="1" x14ac:dyDescent="0.25">
      <c r="A12" s="7"/>
      <c r="B12" s="50" t="s">
        <v>22</v>
      </c>
      <c r="C12" s="51">
        <f t="shared" si="0"/>
        <v>0.16129032258064516</v>
      </c>
      <c r="D12" s="52">
        <f t="shared" si="0"/>
        <v>4</v>
      </c>
      <c r="E12" s="54" t="s">
        <v>451</v>
      </c>
      <c r="F12" s="52">
        <f t="shared" si="1"/>
        <v>4</v>
      </c>
      <c r="G12" s="53" t="s">
        <v>450</v>
      </c>
      <c r="H12" s="52">
        <f t="shared" si="2"/>
        <v>4</v>
      </c>
      <c r="I12" s="53" t="s">
        <v>450</v>
      </c>
      <c r="J12" s="52">
        <f t="shared" si="6"/>
        <v>4</v>
      </c>
      <c r="K12" s="55" t="s">
        <v>450</v>
      </c>
      <c r="L12" s="32"/>
      <c r="M12" s="50" t="s">
        <v>22</v>
      </c>
      <c r="N12" s="51">
        <f t="shared" si="3"/>
        <v>0.16129032258064516</v>
      </c>
      <c r="O12" s="52">
        <v>4</v>
      </c>
      <c r="P12" s="52">
        <v>4</v>
      </c>
      <c r="Q12" s="52">
        <v>4</v>
      </c>
      <c r="R12" s="121">
        <v>4</v>
      </c>
      <c r="S12" s="32"/>
      <c r="T12" s="19" t="s">
        <v>22</v>
      </c>
      <c r="U12" s="98">
        <v>2</v>
      </c>
      <c r="V12" s="98">
        <v>2</v>
      </c>
      <c r="W12" s="98">
        <v>2</v>
      </c>
      <c r="X12" s="98">
        <v>2</v>
      </c>
      <c r="Y12" s="98">
        <v>1</v>
      </c>
      <c r="Z12" s="98">
        <v>2</v>
      </c>
      <c r="AA12" s="98">
        <v>1</v>
      </c>
      <c r="AB12" s="27"/>
      <c r="AC12" s="194">
        <v>1</v>
      </c>
      <c r="AD12" s="99">
        <v>2</v>
      </c>
      <c r="AE12" s="17">
        <f t="shared" si="4"/>
        <v>15</v>
      </c>
      <c r="AF12" s="28">
        <f t="shared" si="5"/>
        <v>0.16129032258064516</v>
      </c>
      <c r="AG12" s="7"/>
      <c r="AJ12" s="197" t="s">
        <v>22</v>
      </c>
      <c r="AK12" s="146" t="s">
        <v>92</v>
      </c>
      <c r="AL12" s="146" t="s">
        <v>93</v>
      </c>
      <c r="AM12" s="146" t="s">
        <v>94</v>
      </c>
      <c r="AN12" s="146" t="s">
        <v>95</v>
      </c>
      <c r="AO12" s="146" t="s">
        <v>96</v>
      </c>
    </row>
    <row r="13" spans="1:41" ht="66.599999999999994" customHeight="1" x14ac:dyDescent="0.25">
      <c r="A13" s="7"/>
      <c r="B13" s="50" t="s">
        <v>238</v>
      </c>
      <c r="C13" s="51">
        <f t="shared" si="0"/>
        <v>0.16129032258064516</v>
      </c>
      <c r="D13" s="52">
        <f t="shared" si="0"/>
        <v>5</v>
      </c>
      <c r="E13" s="54" t="s">
        <v>445</v>
      </c>
      <c r="F13" s="52">
        <f t="shared" si="1"/>
        <v>4</v>
      </c>
      <c r="G13" s="54" t="s">
        <v>408</v>
      </c>
      <c r="H13" s="52">
        <f t="shared" si="2"/>
        <v>4</v>
      </c>
      <c r="I13" s="54" t="s">
        <v>408</v>
      </c>
      <c r="J13" s="52">
        <f t="shared" si="6"/>
        <v>4</v>
      </c>
      <c r="K13" s="120" t="s">
        <v>408</v>
      </c>
      <c r="L13" s="32"/>
      <c r="M13" s="50" t="str">
        <f>T13</f>
        <v>Construction Duration</v>
      </c>
      <c r="N13" s="51">
        <f t="shared" si="3"/>
        <v>0.16129032258064516</v>
      </c>
      <c r="O13" s="52">
        <v>5</v>
      </c>
      <c r="P13" s="52">
        <v>4</v>
      </c>
      <c r="Q13" s="52">
        <v>4</v>
      </c>
      <c r="R13" s="121">
        <v>4</v>
      </c>
      <c r="S13" s="32"/>
      <c r="T13" s="186" t="s">
        <v>238</v>
      </c>
      <c r="U13" s="187">
        <v>2</v>
      </c>
      <c r="V13" s="187">
        <v>2</v>
      </c>
      <c r="W13" s="187">
        <v>2</v>
      </c>
      <c r="X13" s="187">
        <v>2</v>
      </c>
      <c r="Y13" s="187">
        <v>1</v>
      </c>
      <c r="Z13" s="187">
        <v>2</v>
      </c>
      <c r="AA13" s="187">
        <v>1</v>
      </c>
      <c r="AB13" s="193">
        <v>1</v>
      </c>
      <c r="AC13" s="191"/>
      <c r="AD13" s="188">
        <v>2</v>
      </c>
      <c r="AE13" s="17">
        <f t="shared" si="4"/>
        <v>15</v>
      </c>
      <c r="AF13" s="28">
        <f t="shared" si="5"/>
        <v>0.16129032258064516</v>
      </c>
      <c r="AG13" s="7"/>
      <c r="AJ13" s="197" t="s">
        <v>238</v>
      </c>
      <c r="AK13" s="281" t="s">
        <v>239</v>
      </c>
      <c r="AL13" s="281" t="s">
        <v>241</v>
      </c>
      <c r="AM13" s="281" t="s">
        <v>242</v>
      </c>
      <c r="AN13" s="281" t="s">
        <v>243</v>
      </c>
      <c r="AO13" s="281" t="s">
        <v>240</v>
      </c>
    </row>
    <row r="14" spans="1:41" ht="31.8" customHeight="1" thickBot="1" x14ac:dyDescent="0.3">
      <c r="A14" s="7"/>
      <c r="B14" s="57" t="s">
        <v>23</v>
      </c>
      <c r="C14" s="58">
        <f t="shared" si="0"/>
        <v>8.6021505376344093E-2</v>
      </c>
      <c r="D14" s="52">
        <f t="shared" si="0"/>
        <v>2</v>
      </c>
      <c r="E14" s="53" t="s">
        <v>315</v>
      </c>
      <c r="F14" s="52">
        <f t="shared" si="1"/>
        <v>3</v>
      </c>
      <c r="G14" s="53" t="s">
        <v>432</v>
      </c>
      <c r="H14" s="52">
        <f t="shared" si="2"/>
        <v>3</v>
      </c>
      <c r="I14" s="53" t="s">
        <v>432</v>
      </c>
      <c r="J14" s="52">
        <f t="shared" si="6"/>
        <v>3</v>
      </c>
      <c r="K14" s="55" t="s">
        <v>432</v>
      </c>
      <c r="L14" s="32"/>
      <c r="M14" s="50" t="s">
        <v>23</v>
      </c>
      <c r="N14" s="51">
        <f t="shared" si="3"/>
        <v>8.6021505376344093E-2</v>
      </c>
      <c r="O14" s="122">
        <v>2</v>
      </c>
      <c r="P14" s="122">
        <v>3</v>
      </c>
      <c r="Q14" s="122">
        <v>3</v>
      </c>
      <c r="R14" s="123">
        <v>3</v>
      </c>
      <c r="S14" s="32"/>
      <c r="T14" s="104" t="s">
        <v>23</v>
      </c>
      <c r="U14" s="100">
        <v>1</v>
      </c>
      <c r="V14" s="100">
        <v>1</v>
      </c>
      <c r="W14" s="100">
        <v>1</v>
      </c>
      <c r="X14" s="100">
        <v>1</v>
      </c>
      <c r="Y14" s="100">
        <v>1</v>
      </c>
      <c r="Z14" s="100">
        <v>1</v>
      </c>
      <c r="AA14" s="100">
        <v>1</v>
      </c>
      <c r="AB14" s="100">
        <v>0</v>
      </c>
      <c r="AC14" s="192">
        <v>1</v>
      </c>
      <c r="AD14" s="101"/>
      <c r="AE14" s="105">
        <f t="shared" si="4"/>
        <v>8</v>
      </c>
      <c r="AF14" s="106">
        <f t="shared" si="5"/>
        <v>8.6021505376344093E-2</v>
      </c>
      <c r="AG14" s="7"/>
      <c r="AJ14" s="284" t="s">
        <v>23</v>
      </c>
      <c r="AK14" s="285" t="s">
        <v>428</v>
      </c>
      <c r="AL14" s="285" t="s">
        <v>427</v>
      </c>
      <c r="AM14" s="285" t="s">
        <v>426</v>
      </c>
      <c r="AN14" s="285" t="s">
        <v>398</v>
      </c>
      <c r="AO14" s="285" t="s">
        <v>399</v>
      </c>
    </row>
    <row r="15" spans="1:41" ht="24.9" customHeight="1" thickBot="1" x14ac:dyDescent="0.3">
      <c r="B15" s="282" t="s">
        <v>24</v>
      </c>
      <c r="C15" s="283">
        <f>SUM(C5:C14)</f>
        <v>1</v>
      </c>
      <c r="D15" s="59"/>
      <c r="E15" s="117">
        <f>SUMPRODUCT($C$5:$C$14,D5:D14)</f>
        <v>3.6236559139784941</v>
      </c>
      <c r="F15" s="118"/>
      <c r="G15" s="117">
        <f>SUMPRODUCT($C$5:$C$14,F5:F14)</f>
        <v>3.4086021505376349</v>
      </c>
      <c r="H15" s="118"/>
      <c r="I15" s="117">
        <f>SUMPRODUCT($C$5:$C$14,H5:H14)</f>
        <v>3.354838709677419</v>
      </c>
      <c r="J15" s="118"/>
      <c r="K15" s="119">
        <f>SUMPRODUCT($C$5:$C$14,J5:J14)</f>
        <v>3.354838709677419</v>
      </c>
      <c r="L15" s="32"/>
      <c r="M15" s="124" t="s">
        <v>24</v>
      </c>
      <c r="N15" s="125">
        <f>SUM(N5:N14)</f>
        <v>1</v>
      </c>
      <c r="O15" s="126">
        <f>SUMPRODUCT($N$5:$N$14,O5:O14)</f>
        <v>3.6236559139784941</v>
      </c>
      <c r="P15" s="126">
        <f>SUMPRODUCT($N$5:$N$14,P5:P14)</f>
        <v>3.4086021505376349</v>
      </c>
      <c r="Q15" s="126">
        <f>SUMPRODUCT($N$5:$N$14,Q5:Q14)</f>
        <v>3.354838709677419</v>
      </c>
      <c r="R15" s="127">
        <f>SUMPRODUCT($N$5:$N$14,R5:R14)</f>
        <v>3.354838709677419</v>
      </c>
      <c r="S15" s="32"/>
      <c r="T15" s="35"/>
      <c r="U15" s="35"/>
      <c r="V15" s="35"/>
      <c r="W15" s="35"/>
      <c r="X15" s="35"/>
      <c r="Y15" s="35"/>
      <c r="Z15" s="35"/>
      <c r="AA15" s="35"/>
      <c r="AB15" s="35"/>
      <c r="AC15" s="35"/>
      <c r="AD15" s="35"/>
      <c r="AE15" s="102">
        <f>SUM(AE5:AE14)</f>
        <v>93</v>
      </c>
      <c r="AF15" s="103">
        <f>SUM(AF5:AF14)</f>
        <v>1</v>
      </c>
    </row>
    <row r="16" spans="1:41" ht="31.2" customHeight="1" thickBot="1" x14ac:dyDescent="0.3">
      <c r="B16" s="7"/>
      <c r="C16" s="29" t="b">
        <f>C15=N15</f>
        <v>1</v>
      </c>
      <c r="D16" s="7" t="b">
        <f>SUM(D5:D14)=SUM(O5:O14)</f>
        <v>1</v>
      </c>
      <c r="E16" s="29" t="b">
        <f>E15=O15</f>
        <v>1</v>
      </c>
      <c r="F16" s="7" t="b">
        <f>SUM(F5:F14)=SUM(P5:P14)</f>
        <v>1</v>
      </c>
      <c r="G16" s="29" t="b">
        <f>G15=P15</f>
        <v>1</v>
      </c>
      <c r="H16" s="7" t="b">
        <f>SUM(H5:H14)=SUM(Q5:Q14)</f>
        <v>1</v>
      </c>
      <c r="I16" s="29" t="b">
        <f>I15=Q15</f>
        <v>1</v>
      </c>
      <c r="J16" s="7" t="b">
        <f>SUM(J5:J14)=SUM(R5:R14)</f>
        <v>1</v>
      </c>
      <c r="K16" s="29" t="b">
        <f>R15=K15</f>
        <v>1</v>
      </c>
      <c r="L16" s="32"/>
      <c r="M16" s="128" t="s">
        <v>55</v>
      </c>
      <c r="N16" s="129"/>
      <c r="O16" s="130">
        <f>RANK(O15,$O$15:$R$15,1)</f>
        <v>4</v>
      </c>
      <c r="P16" s="130">
        <f>RANK(P15,$O$15:$R$15,1)</f>
        <v>3</v>
      </c>
      <c r="Q16" s="130">
        <f>RANK(Q15,$O$15:$R$15,1)</f>
        <v>1</v>
      </c>
      <c r="R16" s="131">
        <f>RANK(R15,$O$15:$R$15,1)</f>
        <v>1</v>
      </c>
      <c r="T16" s="7"/>
      <c r="U16" s="7"/>
      <c r="V16" s="7"/>
      <c r="W16" s="7"/>
      <c r="X16" s="7"/>
      <c r="Y16" s="7"/>
      <c r="Z16" s="7"/>
      <c r="AA16" s="7"/>
      <c r="AB16" s="7"/>
      <c r="AC16" s="7"/>
      <c r="AD16" s="7"/>
      <c r="AE16" s="7"/>
      <c r="AF16" s="10"/>
      <c r="AG16" s="10"/>
      <c r="AJ16" s="197" t="s">
        <v>23</v>
      </c>
      <c r="AK16" s="349" t="s">
        <v>400</v>
      </c>
      <c r="AL16" s="350"/>
      <c r="AM16" s="350"/>
      <c r="AN16" s="350"/>
      <c r="AO16" s="351"/>
    </row>
    <row r="17" spans="1:37" ht="22.5" customHeight="1" x14ac:dyDescent="0.25">
      <c r="I17" s="7"/>
      <c r="J17" s="7"/>
      <c r="K17" s="7"/>
      <c r="M17" s="30"/>
      <c r="N17" s="31"/>
      <c r="O17" s="36" t="str">
        <f>IF(O16=1,"BEST","-")</f>
        <v>-</v>
      </c>
      <c r="P17" s="36" t="str">
        <f>IF(P16=1,"BEST","-")</f>
        <v>-</v>
      </c>
      <c r="Q17" s="36" t="str">
        <f>IF(Q16=1,"BEST","-")</f>
        <v>BEST</v>
      </c>
      <c r="R17" s="36" t="str">
        <f>IF(R16=1,"BEST","-")</f>
        <v>BEST</v>
      </c>
      <c r="T17" s="7"/>
      <c r="U17" s="7"/>
      <c r="V17" s="7"/>
      <c r="W17" s="7"/>
      <c r="X17" s="7"/>
      <c r="Y17" s="7"/>
      <c r="Z17" s="7"/>
      <c r="AA17" s="7"/>
      <c r="AB17" s="7"/>
      <c r="AC17" s="7"/>
      <c r="AD17" s="7"/>
      <c r="AE17" s="7"/>
    </row>
    <row r="18" spans="1:37" x14ac:dyDescent="0.25">
      <c r="M18" s="20"/>
      <c r="N18" s="14"/>
      <c r="O18" s="23"/>
      <c r="P18" s="23"/>
      <c r="Q18" s="23"/>
      <c r="R18" s="23"/>
    </row>
    <row r="22" spans="1:37" ht="14.25" customHeight="1" x14ac:dyDescent="0.25">
      <c r="A22" s="7"/>
      <c r="B22" s="7"/>
      <c r="C22" s="7"/>
      <c r="D22" s="7"/>
      <c r="E22" s="7"/>
      <c r="F22" s="7"/>
      <c r="H22" s="7"/>
      <c r="I22" s="7"/>
      <c r="J22" s="7"/>
      <c r="K22" s="7"/>
      <c r="L22" s="32"/>
      <c r="M22" s="7"/>
      <c r="N22" s="7"/>
      <c r="O22" s="7"/>
      <c r="P22" s="7"/>
      <c r="Q22" s="7"/>
      <c r="R22" s="7"/>
      <c r="S22" s="32"/>
      <c r="T22" s="7"/>
      <c r="U22" s="7"/>
      <c r="V22" s="7"/>
      <c r="W22" s="7"/>
      <c r="X22" s="7"/>
      <c r="Y22" s="7"/>
      <c r="Z22" s="7"/>
      <c r="AA22" s="7"/>
      <c r="AB22" s="7"/>
      <c r="AC22" s="7"/>
      <c r="AD22" s="7"/>
      <c r="AE22" s="7"/>
      <c r="AF22" s="7"/>
      <c r="AG22" s="7"/>
    </row>
    <row r="23" spans="1:37" ht="16.2" thickBot="1" x14ac:dyDescent="0.35">
      <c r="A23" s="7"/>
      <c r="B23" s="15" t="s">
        <v>0</v>
      </c>
      <c r="C23" s="7"/>
      <c r="D23" s="7"/>
      <c r="E23" s="7"/>
      <c r="F23" s="7"/>
      <c r="G23" s="7"/>
      <c r="H23" s="7"/>
      <c r="M23" s="7"/>
      <c r="N23" s="7"/>
      <c r="O23" s="7"/>
      <c r="P23" s="7"/>
      <c r="Q23" s="7"/>
      <c r="T23" s="7"/>
      <c r="U23" s="7"/>
      <c r="V23" s="32"/>
      <c r="W23" s="15"/>
      <c r="X23" s="7"/>
      <c r="Y23" s="7"/>
      <c r="Z23" s="7"/>
      <c r="AA23" s="7"/>
      <c r="AB23" s="7"/>
      <c r="AC23" s="7"/>
      <c r="AD23" s="7"/>
      <c r="AE23" s="7"/>
      <c r="AF23" s="7"/>
      <c r="AG23" s="7"/>
      <c r="AH23" s="32"/>
      <c r="AI23" s="15"/>
      <c r="AJ23" s="7"/>
      <c r="AK23" s="7"/>
    </row>
    <row r="24" spans="1:37" ht="29.4" customHeight="1" x14ac:dyDescent="0.25">
      <c r="A24" s="7"/>
      <c r="B24" s="360" t="s">
        <v>3</v>
      </c>
      <c r="C24" s="362" t="s">
        <v>4</v>
      </c>
      <c r="D24" s="364" t="s">
        <v>143</v>
      </c>
      <c r="E24" s="364"/>
      <c r="F24" s="364" t="s">
        <v>144</v>
      </c>
      <c r="G24" s="365"/>
      <c r="H24" s="32"/>
      <c r="M24" s="366" t="s">
        <v>3</v>
      </c>
      <c r="N24" s="364" t="s">
        <v>13</v>
      </c>
      <c r="O24" s="369" t="s">
        <v>14</v>
      </c>
      <c r="P24" s="370"/>
      <c r="Q24" s="32"/>
      <c r="T24" s="371"/>
      <c r="U24" s="352" t="s">
        <v>15</v>
      </c>
      <c r="V24" s="352" t="s">
        <v>16</v>
      </c>
      <c r="W24" s="352" t="s">
        <v>17</v>
      </c>
      <c r="X24" s="352" t="s">
        <v>18</v>
      </c>
      <c r="Y24" s="352" t="s">
        <v>19</v>
      </c>
      <c r="Z24" s="352" t="s">
        <v>20</v>
      </c>
      <c r="AA24" s="352" t="s">
        <v>21</v>
      </c>
      <c r="AB24" s="352" t="s">
        <v>22</v>
      </c>
      <c r="AC24" s="354" t="s">
        <v>238</v>
      </c>
      <c r="AD24" s="373" t="s">
        <v>23</v>
      </c>
      <c r="AE24" s="375" t="s">
        <v>24</v>
      </c>
      <c r="AF24" s="373" t="s">
        <v>25</v>
      </c>
      <c r="AG24" s="7"/>
    </row>
    <row r="25" spans="1:37" ht="35.4" customHeight="1" thickBot="1" x14ac:dyDescent="0.3">
      <c r="A25" s="9"/>
      <c r="B25" s="361"/>
      <c r="C25" s="363"/>
      <c r="D25" s="113" t="s">
        <v>14</v>
      </c>
      <c r="E25" s="113" t="s">
        <v>26</v>
      </c>
      <c r="F25" s="113" t="s">
        <v>14</v>
      </c>
      <c r="G25" s="114" t="s">
        <v>26</v>
      </c>
      <c r="H25" s="32"/>
      <c r="M25" s="367"/>
      <c r="N25" s="368"/>
      <c r="O25" s="113" t="s">
        <v>143</v>
      </c>
      <c r="P25" s="114" t="s">
        <v>144</v>
      </c>
      <c r="Q25" s="32"/>
      <c r="T25" s="372"/>
      <c r="U25" s="353"/>
      <c r="V25" s="353"/>
      <c r="W25" s="353"/>
      <c r="X25" s="353"/>
      <c r="Y25" s="353"/>
      <c r="Z25" s="353"/>
      <c r="AA25" s="353"/>
      <c r="AB25" s="353"/>
      <c r="AC25" s="355"/>
      <c r="AD25" s="374"/>
      <c r="AE25" s="376"/>
      <c r="AF25" s="374"/>
      <c r="AG25" s="9"/>
    </row>
    <row r="26" spans="1:37" ht="62.4" customHeight="1" x14ac:dyDescent="0.25">
      <c r="A26" s="7"/>
      <c r="B26" s="50" t="s">
        <v>15</v>
      </c>
      <c r="C26" s="51">
        <f t="shared" ref="C26:D35" si="7">N26</f>
        <v>8.6021505376344093E-2</v>
      </c>
      <c r="D26" s="52">
        <f t="shared" si="7"/>
        <v>4</v>
      </c>
      <c r="E26" s="53" t="s">
        <v>31</v>
      </c>
      <c r="F26" s="52">
        <f t="shared" ref="F26:F35" si="8">P26</f>
        <v>4</v>
      </c>
      <c r="G26" s="55" t="s">
        <v>31</v>
      </c>
      <c r="H26" s="32"/>
      <c r="M26" s="50" t="s">
        <v>15</v>
      </c>
      <c r="N26" s="51">
        <f t="shared" ref="N26:N35" si="9">AF26</f>
        <v>8.6021505376344093E-2</v>
      </c>
      <c r="O26" s="52">
        <v>4</v>
      </c>
      <c r="P26" s="121">
        <v>4</v>
      </c>
      <c r="Q26" s="32"/>
      <c r="T26" s="18" t="s">
        <v>15</v>
      </c>
      <c r="U26" s="25"/>
      <c r="V26" s="96">
        <v>2</v>
      </c>
      <c r="W26" s="96">
        <v>1</v>
      </c>
      <c r="X26" s="96">
        <v>2</v>
      </c>
      <c r="Y26" s="96">
        <v>0</v>
      </c>
      <c r="Z26" s="96">
        <v>1</v>
      </c>
      <c r="AA26" s="96">
        <v>0</v>
      </c>
      <c r="AB26" s="96">
        <v>0</v>
      </c>
      <c r="AC26" s="189">
        <v>1</v>
      </c>
      <c r="AD26" s="97">
        <v>1</v>
      </c>
      <c r="AE26" s="16">
        <f t="shared" ref="AE26:AE35" si="10">SUM(U26:AD26)</f>
        <v>8</v>
      </c>
      <c r="AF26" s="26">
        <f t="shared" ref="AF26:AF35" si="11">AE26/$AE$15</f>
        <v>8.6021505376344093E-2</v>
      </c>
      <c r="AG26" s="7"/>
    </row>
    <row r="27" spans="1:37" ht="30" customHeight="1" x14ac:dyDescent="0.25">
      <c r="A27" s="7"/>
      <c r="B27" s="50" t="s">
        <v>16</v>
      </c>
      <c r="C27" s="51">
        <f t="shared" si="7"/>
        <v>5.3763440860215055E-2</v>
      </c>
      <c r="D27" s="52">
        <f t="shared" si="7"/>
        <v>5</v>
      </c>
      <c r="E27" s="53" t="s">
        <v>409</v>
      </c>
      <c r="F27" s="52">
        <f t="shared" si="8"/>
        <v>4</v>
      </c>
      <c r="G27" s="55" t="s">
        <v>410</v>
      </c>
      <c r="H27" s="32"/>
      <c r="M27" s="50" t="s">
        <v>16</v>
      </c>
      <c r="N27" s="51">
        <f t="shared" si="9"/>
        <v>5.3763440860215055E-2</v>
      </c>
      <c r="O27" s="122">
        <v>5</v>
      </c>
      <c r="P27" s="123">
        <v>4</v>
      </c>
      <c r="Q27" s="32"/>
      <c r="T27" s="19" t="s">
        <v>16</v>
      </c>
      <c r="U27" s="98">
        <v>0</v>
      </c>
      <c r="V27" s="27"/>
      <c r="W27" s="98">
        <v>1</v>
      </c>
      <c r="X27" s="98">
        <v>1</v>
      </c>
      <c r="Y27" s="98">
        <v>0</v>
      </c>
      <c r="Z27" s="98">
        <v>1</v>
      </c>
      <c r="AA27" s="98">
        <v>0</v>
      </c>
      <c r="AB27" s="98">
        <v>0</v>
      </c>
      <c r="AC27" s="190">
        <v>1</v>
      </c>
      <c r="AD27" s="99">
        <v>1</v>
      </c>
      <c r="AE27" s="17">
        <f t="shared" si="10"/>
        <v>5</v>
      </c>
      <c r="AF27" s="28">
        <f t="shared" si="11"/>
        <v>5.3763440860215055E-2</v>
      </c>
      <c r="AG27" s="7"/>
    </row>
    <row r="28" spans="1:37" ht="39.6" x14ac:dyDescent="0.25">
      <c r="A28" s="7"/>
      <c r="B28" s="50" t="s">
        <v>39</v>
      </c>
      <c r="C28" s="51">
        <f t="shared" si="7"/>
        <v>5.3763440860215055E-2</v>
      </c>
      <c r="D28" s="52">
        <f t="shared" si="7"/>
        <v>2</v>
      </c>
      <c r="E28" s="53" t="s">
        <v>41</v>
      </c>
      <c r="F28" s="52">
        <f t="shared" si="8"/>
        <v>2</v>
      </c>
      <c r="G28" s="55" t="s">
        <v>41</v>
      </c>
      <c r="H28" s="32"/>
      <c r="M28" s="50" t="s">
        <v>39</v>
      </c>
      <c r="N28" s="51">
        <f t="shared" si="9"/>
        <v>5.3763440860215055E-2</v>
      </c>
      <c r="O28" s="52">
        <v>2</v>
      </c>
      <c r="P28" s="121">
        <v>2</v>
      </c>
      <c r="Q28" s="32"/>
      <c r="T28" s="19" t="s">
        <v>42</v>
      </c>
      <c r="U28" s="98">
        <v>1</v>
      </c>
      <c r="V28" s="98">
        <v>1</v>
      </c>
      <c r="W28" s="27"/>
      <c r="X28" s="98">
        <v>1</v>
      </c>
      <c r="Y28" s="98">
        <v>0</v>
      </c>
      <c r="Z28" s="98">
        <v>1</v>
      </c>
      <c r="AA28" s="98">
        <v>0</v>
      </c>
      <c r="AB28" s="98">
        <v>0</v>
      </c>
      <c r="AC28" s="190">
        <v>0</v>
      </c>
      <c r="AD28" s="99">
        <v>1</v>
      </c>
      <c r="AE28" s="17">
        <f t="shared" si="10"/>
        <v>5</v>
      </c>
      <c r="AF28" s="28">
        <f t="shared" si="11"/>
        <v>5.3763440860215055E-2</v>
      </c>
      <c r="AG28" s="7"/>
    </row>
    <row r="29" spans="1:37" ht="58.8" customHeight="1" x14ac:dyDescent="0.25">
      <c r="A29" s="7"/>
      <c r="B29" s="50" t="s">
        <v>18</v>
      </c>
      <c r="C29" s="51">
        <f t="shared" si="7"/>
        <v>4.3010752688172046E-2</v>
      </c>
      <c r="D29" s="52">
        <f t="shared" si="7"/>
        <v>3</v>
      </c>
      <c r="E29" s="53" t="s">
        <v>403</v>
      </c>
      <c r="F29" s="52">
        <f t="shared" si="8"/>
        <v>3</v>
      </c>
      <c r="G29" s="55" t="s">
        <v>403</v>
      </c>
      <c r="H29" s="32"/>
      <c r="M29" s="50" t="s">
        <v>18</v>
      </c>
      <c r="N29" s="51">
        <f t="shared" si="9"/>
        <v>4.3010752688172046E-2</v>
      </c>
      <c r="O29" s="52">
        <v>3</v>
      </c>
      <c r="P29" s="121">
        <v>3</v>
      </c>
      <c r="Q29" s="32"/>
      <c r="T29" s="19" t="s">
        <v>18</v>
      </c>
      <c r="U29" s="98">
        <v>0</v>
      </c>
      <c r="V29" s="98">
        <v>1</v>
      </c>
      <c r="W29" s="98">
        <v>1</v>
      </c>
      <c r="X29" s="27"/>
      <c r="Y29" s="98">
        <v>0</v>
      </c>
      <c r="Z29" s="98">
        <v>1</v>
      </c>
      <c r="AA29" s="98">
        <v>0</v>
      </c>
      <c r="AB29" s="98">
        <v>0</v>
      </c>
      <c r="AC29" s="190">
        <v>0</v>
      </c>
      <c r="AD29" s="99">
        <v>1</v>
      </c>
      <c r="AE29" s="17">
        <f t="shared" si="10"/>
        <v>4</v>
      </c>
      <c r="AF29" s="28">
        <f t="shared" si="11"/>
        <v>4.3010752688172046E-2</v>
      </c>
      <c r="AG29" s="7"/>
    </row>
    <row r="30" spans="1:37" ht="44.4" customHeight="1" x14ac:dyDescent="0.25">
      <c r="A30" s="7"/>
      <c r="B30" s="50" t="s">
        <v>19</v>
      </c>
      <c r="C30" s="51">
        <f t="shared" si="7"/>
        <v>0.15053763440860216</v>
      </c>
      <c r="D30" s="52">
        <f t="shared" si="7"/>
        <v>4</v>
      </c>
      <c r="E30" s="53" t="s">
        <v>412</v>
      </c>
      <c r="F30" s="56">
        <f t="shared" si="8"/>
        <v>4</v>
      </c>
      <c r="G30" s="55" t="s">
        <v>411</v>
      </c>
      <c r="H30" s="32"/>
      <c r="M30" s="50" t="s">
        <v>19</v>
      </c>
      <c r="N30" s="51">
        <f t="shared" si="9"/>
        <v>0.15053763440860216</v>
      </c>
      <c r="O30" s="52">
        <v>4</v>
      </c>
      <c r="P30" s="121">
        <v>4</v>
      </c>
      <c r="Q30" s="32"/>
      <c r="T30" s="19" t="s">
        <v>19</v>
      </c>
      <c r="U30" s="98">
        <v>2</v>
      </c>
      <c r="V30" s="98">
        <v>2</v>
      </c>
      <c r="W30" s="98">
        <v>2</v>
      </c>
      <c r="X30" s="98">
        <v>2</v>
      </c>
      <c r="Y30" s="27"/>
      <c r="Z30" s="98">
        <v>2</v>
      </c>
      <c r="AA30" s="98">
        <v>1</v>
      </c>
      <c r="AB30" s="98">
        <v>1</v>
      </c>
      <c r="AC30" s="190">
        <v>1</v>
      </c>
      <c r="AD30" s="99">
        <v>1</v>
      </c>
      <c r="AE30" s="17">
        <f t="shared" si="10"/>
        <v>14</v>
      </c>
      <c r="AF30" s="28">
        <f t="shared" si="11"/>
        <v>0.15053763440860216</v>
      </c>
      <c r="AG30" s="7"/>
    </row>
    <row r="31" spans="1:37" ht="31.2" customHeight="1" x14ac:dyDescent="0.25">
      <c r="A31" s="7"/>
      <c r="B31" s="57" t="s">
        <v>20</v>
      </c>
      <c r="C31" s="58">
        <f t="shared" si="7"/>
        <v>5.3763440860215055E-2</v>
      </c>
      <c r="D31" s="52">
        <f t="shared" si="7"/>
        <v>3</v>
      </c>
      <c r="E31" s="53" t="s">
        <v>413</v>
      </c>
      <c r="F31" s="52">
        <f t="shared" si="8"/>
        <v>3</v>
      </c>
      <c r="G31" s="55" t="s">
        <v>413</v>
      </c>
      <c r="H31" s="32"/>
      <c r="M31" s="50" t="s">
        <v>20</v>
      </c>
      <c r="N31" s="51">
        <f t="shared" si="9"/>
        <v>5.3763440860215055E-2</v>
      </c>
      <c r="O31" s="52">
        <v>3</v>
      </c>
      <c r="P31" s="121">
        <v>3</v>
      </c>
      <c r="Q31" s="32"/>
      <c r="T31" s="19" t="s">
        <v>20</v>
      </c>
      <c r="U31" s="98">
        <v>1</v>
      </c>
      <c r="V31" s="98">
        <v>1</v>
      </c>
      <c r="W31" s="98">
        <v>1</v>
      </c>
      <c r="X31" s="98">
        <v>1</v>
      </c>
      <c r="Y31" s="98">
        <v>0</v>
      </c>
      <c r="Z31" s="27"/>
      <c r="AA31" s="98">
        <v>0</v>
      </c>
      <c r="AB31" s="98">
        <v>0</v>
      </c>
      <c r="AC31" s="190">
        <v>0</v>
      </c>
      <c r="AD31" s="99">
        <v>1</v>
      </c>
      <c r="AE31" s="17">
        <f t="shared" si="10"/>
        <v>5</v>
      </c>
      <c r="AF31" s="28">
        <f t="shared" si="11"/>
        <v>5.3763440860215055E-2</v>
      </c>
      <c r="AG31" s="7"/>
    </row>
    <row r="32" spans="1:37" ht="30" customHeight="1" x14ac:dyDescent="0.25">
      <c r="A32" s="7"/>
      <c r="B32" s="50" t="s">
        <v>21</v>
      </c>
      <c r="C32" s="51">
        <f t="shared" si="7"/>
        <v>0.15053763440860216</v>
      </c>
      <c r="D32" s="52">
        <f t="shared" si="7"/>
        <v>2</v>
      </c>
      <c r="E32" s="53" t="s">
        <v>414</v>
      </c>
      <c r="F32" s="52">
        <f t="shared" si="8"/>
        <v>2</v>
      </c>
      <c r="G32" s="55" t="s">
        <v>414</v>
      </c>
      <c r="H32" s="32"/>
      <c r="M32" s="50" t="s">
        <v>21</v>
      </c>
      <c r="N32" s="51">
        <f t="shared" si="9"/>
        <v>0.15053763440860216</v>
      </c>
      <c r="O32" s="52">
        <v>2</v>
      </c>
      <c r="P32" s="121">
        <v>2</v>
      </c>
      <c r="Q32" s="32"/>
      <c r="T32" s="19" t="s">
        <v>21</v>
      </c>
      <c r="U32" s="98">
        <v>2</v>
      </c>
      <c r="V32" s="98">
        <v>2</v>
      </c>
      <c r="W32" s="98">
        <v>2</v>
      </c>
      <c r="X32" s="98">
        <v>2</v>
      </c>
      <c r="Y32" s="98">
        <v>1</v>
      </c>
      <c r="Z32" s="98">
        <v>2</v>
      </c>
      <c r="AA32" s="27"/>
      <c r="AB32" s="98">
        <v>1</v>
      </c>
      <c r="AC32" s="190">
        <v>1</v>
      </c>
      <c r="AD32" s="99">
        <v>1</v>
      </c>
      <c r="AE32" s="17">
        <f t="shared" si="10"/>
        <v>14</v>
      </c>
      <c r="AF32" s="28">
        <f t="shared" si="11"/>
        <v>0.15053763440860216</v>
      </c>
      <c r="AG32" s="7"/>
    </row>
    <row r="33" spans="1:37" ht="81.599999999999994" customHeight="1" x14ac:dyDescent="0.25">
      <c r="A33" s="7"/>
      <c r="B33" s="50" t="s">
        <v>22</v>
      </c>
      <c r="C33" s="51">
        <f t="shared" si="7"/>
        <v>0.16129032258064516</v>
      </c>
      <c r="D33" s="52">
        <f t="shared" si="7"/>
        <v>4</v>
      </c>
      <c r="E33" s="53" t="s">
        <v>415</v>
      </c>
      <c r="F33" s="52">
        <f t="shared" si="8"/>
        <v>3</v>
      </c>
      <c r="G33" s="55" t="s">
        <v>416</v>
      </c>
      <c r="H33" s="32"/>
      <c r="M33" s="50" t="s">
        <v>22</v>
      </c>
      <c r="N33" s="51">
        <f t="shared" si="9"/>
        <v>0.16129032258064516</v>
      </c>
      <c r="O33" s="52">
        <v>4</v>
      </c>
      <c r="P33" s="121">
        <v>3</v>
      </c>
      <c r="Q33" s="32"/>
      <c r="T33" s="19" t="s">
        <v>22</v>
      </c>
      <c r="U33" s="98">
        <v>2</v>
      </c>
      <c r="V33" s="98">
        <v>2</v>
      </c>
      <c r="W33" s="98">
        <v>2</v>
      </c>
      <c r="X33" s="98">
        <v>2</v>
      </c>
      <c r="Y33" s="98">
        <v>1</v>
      </c>
      <c r="Z33" s="98">
        <v>2</v>
      </c>
      <c r="AA33" s="98">
        <v>1</v>
      </c>
      <c r="AB33" s="27"/>
      <c r="AC33" s="194">
        <v>1</v>
      </c>
      <c r="AD33" s="99">
        <v>2</v>
      </c>
      <c r="AE33" s="17">
        <f t="shared" si="10"/>
        <v>15</v>
      </c>
      <c r="AF33" s="28">
        <f t="shared" si="11"/>
        <v>0.16129032258064516</v>
      </c>
      <c r="AG33" s="7"/>
    </row>
    <row r="34" spans="1:37" ht="30.6" customHeight="1" x14ac:dyDescent="0.25">
      <c r="A34" s="7"/>
      <c r="B34" s="50" t="s">
        <v>238</v>
      </c>
      <c r="C34" s="51">
        <f t="shared" si="7"/>
        <v>0.16129032258064516</v>
      </c>
      <c r="D34" s="52">
        <f t="shared" si="7"/>
        <v>4</v>
      </c>
      <c r="E34" s="54" t="s">
        <v>314</v>
      </c>
      <c r="F34" s="52">
        <f t="shared" si="8"/>
        <v>4</v>
      </c>
      <c r="G34" s="120" t="s">
        <v>314</v>
      </c>
      <c r="H34" s="32"/>
      <c r="M34" s="50" t="str">
        <f>T34</f>
        <v>Construction Duration</v>
      </c>
      <c r="N34" s="51">
        <f t="shared" si="9"/>
        <v>0.16129032258064516</v>
      </c>
      <c r="O34" s="52">
        <v>4</v>
      </c>
      <c r="P34" s="121">
        <v>4</v>
      </c>
      <c r="Q34" s="32"/>
      <c r="T34" s="186" t="s">
        <v>238</v>
      </c>
      <c r="U34" s="187">
        <v>2</v>
      </c>
      <c r="V34" s="187">
        <v>2</v>
      </c>
      <c r="W34" s="187">
        <v>2</v>
      </c>
      <c r="X34" s="187">
        <v>2</v>
      </c>
      <c r="Y34" s="187">
        <v>1</v>
      </c>
      <c r="Z34" s="187">
        <v>2</v>
      </c>
      <c r="AA34" s="187">
        <v>1</v>
      </c>
      <c r="AB34" s="193">
        <v>1</v>
      </c>
      <c r="AC34" s="191"/>
      <c r="AD34" s="188">
        <v>2</v>
      </c>
      <c r="AE34" s="17">
        <f t="shared" si="10"/>
        <v>15</v>
      </c>
      <c r="AF34" s="28">
        <f t="shared" si="11"/>
        <v>0.16129032258064516</v>
      </c>
      <c r="AG34" s="7"/>
    </row>
    <row r="35" spans="1:37" ht="23.4" customHeight="1" thickBot="1" x14ac:dyDescent="0.3">
      <c r="A35" s="7"/>
      <c r="B35" s="57" t="s">
        <v>23</v>
      </c>
      <c r="C35" s="58">
        <f t="shared" si="7"/>
        <v>8.6021505376344093E-2</v>
      </c>
      <c r="D35" s="52">
        <f t="shared" si="7"/>
        <v>2</v>
      </c>
      <c r="E35" s="53" t="s">
        <v>400</v>
      </c>
      <c r="F35" s="52">
        <f t="shared" si="8"/>
        <v>2</v>
      </c>
      <c r="G35" s="55" t="s">
        <v>400</v>
      </c>
      <c r="H35" s="32"/>
      <c r="M35" s="50" t="s">
        <v>23</v>
      </c>
      <c r="N35" s="51">
        <f t="shared" si="9"/>
        <v>8.6021505376344093E-2</v>
      </c>
      <c r="O35" s="122">
        <v>2</v>
      </c>
      <c r="P35" s="123">
        <v>2</v>
      </c>
      <c r="Q35" s="32"/>
      <c r="T35" s="104" t="s">
        <v>23</v>
      </c>
      <c r="U35" s="100">
        <v>1</v>
      </c>
      <c r="V35" s="100">
        <v>1</v>
      </c>
      <c r="W35" s="100">
        <v>1</v>
      </c>
      <c r="X35" s="100">
        <v>1</v>
      </c>
      <c r="Y35" s="100">
        <v>1</v>
      </c>
      <c r="Z35" s="100">
        <v>1</v>
      </c>
      <c r="AA35" s="100">
        <v>1</v>
      </c>
      <c r="AB35" s="100">
        <v>0</v>
      </c>
      <c r="AC35" s="192">
        <v>1</v>
      </c>
      <c r="AD35" s="101"/>
      <c r="AE35" s="105">
        <f t="shared" si="10"/>
        <v>8</v>
      </c>
      <c r="AF35" s="106">
        <f t="shared" si="11"/>
        <v>8.6021505376344093E-2</v>
      </c>
      <c r="AG35" s="7"/>
    </row>
    <row r="36" spans="1:37" ht="24.9" customHeight="1" thickBot="1" x14ac:dyDescent="0.3">
      <c r="B36" s="282" t="s">
        <v>24</v>
      </c>
      <c r="C36" s="283">
        <f>SUM(C26:C35)</f>
        <v>1</v>
      </c>
      <c r="D36" s="59"/>
      <c r="E36" s="117">
        <f>SUMPRODUCT($C$5:$C$14,D26:D35)</f>
        <v>3.376344086021505</v>
      </c>
      <c r="F36" s="118"/>
      <c r="G36" s="119">
        <f>SUMPRODUCT($C$5:$C$14,F26:F35)</f>
        <v>3.161290322580645</v>
      </c>
      <c r="H36" s="32"/>
      <c r="M36" s="132" t="s">
        <v>24</v>
      </c>
      <c r="N36" s="133">
        <f>SUM(N26:N35)</f>
        <v>1</v>
      </c>
      <c r="O36" s="134">
        <f>SUMPRODUCT($N$5:$N$14,O26:O35)</f>
        <v>3.376344086021505</v>
      </c>
      <c r="P36" s="135">
        <f>SUMPRODUCT($N$5:$N$14,P26:P35)</f>
        <v>3.161290322580645</v>
      </c>
      <c r="Q36" s="32"/>
      <c r="T36" s="35"/>
      <c r="U36" s="35"/>
      <c r="V36" s="35"/>
      <c r="W36" s="35"/>
      <c r="X36" s="35"/>
      <c r="Y36" s="35"/>
      <c r="Z36" s="35"/>
      <c r="AA36" s="35"/>
      <c r="AB36" s="35"/>
      <c r="AC36" s="35"/>
      <c r="AD36" s="35"/>
      <c r="AE36" s="102">
        <f>SUM(AE26:AE35)</f>
        <v>93</v>
      </c>
      <c r="AF36" s="103">
        <f>SUM(AF26:AF35)</f>
        <v>1</v>
      </c>
    </row>
    <row r="37" spans="1:37" ht="16.2" thickBot="1" x14ac:dyDescent="0.3">
      <c r="B37" s="7"/>
      <c r="C37" s="29" t="b">
        <f>C36=N36</f>
        <v>1</v>
      </c>
      <c r="D37" s="7" t="b">
        <f>SUM(D26:D35)=SUM(O26:O35)</f>
        <v>1</v>
      </c>
      <c r="E37" s="29" t="b">
        <f>E36=O36</f>
        <v>1</v>
      </c>
      <c r="F37" s="7" t="b">
        <f>SUM(F26:F35)=SUM(P26:P35)</f>
        <v>1</v>
      </c>
      <c r="G37" s="29" t="b">
        <f>G36=P36</f>
        <v>1</v>
      </c>
      <c r="H37" s="32"/>
      <c r="M37" s="136" t="s">
        <v>55</v>
      </c>
      <c r="N37" s="137"/>
      <c r="O37" s="138">
        <f>RANK(O36,$O$36:$P$36,1)</f>
        <v>2</v>
      </c>
      <c r="P37" s="139">
        <f>RANK(P36,$O$36:$P$36,1)</f>
        <v>1</v>
      </c>
      <c r="Q37" s="33"/>
      <c r="T37" s="7"/>
      <c r="U37" s="7"/>
      <c r="V37" s="7"/>
      <c r="W37" s="7"/>
      <c r="X37" s="7"/>
      <c r="Y37" s="7"/>
      <c r="Z37" s="7"/>
      <c r="AA37" s="7"/>
      <c r="AB37" s="7"/>
      <c r="AC37" s="7"/>
      <c r="AD37" s="7"/>
      <c r="AE37" s="7"/>
      <c r="AF37" s="10"/>
      <c r="AG37" s="10"/>
    </row>
    <row r="38" spans="1:37" ht="22.5" customHeight="1" x14ac:dyDescent="0.25">
      <c r="M38" s="7"/>
      <c r="N38" s="7"/>
      <c r="O38" s="7"/>
      <c r="P38" s="7"/>
      <c r="Q38" s="7"/>
      <c r="T38" s="7"/>
      <c r="U38" s="7"/>
      <c r="V38" s="33"/>
      <c r="W38" s="30"/>
      <c r="X38" s="31"/>
      <c r="Y38" s="36"/>
      <c r="Z38" s="36"/>
      <c r="AA38" s="36"/>
      <c r="AB38" s="36"/>
      <c r="AC38" s="36"/>
      <c r="AD38" s="36"/>
      <c r="AE38" s="36"/>
      <c r="AF38" s="36"/>
      <c r="AG38" s="36"/>
      <c r="AH38" s="33"/>
      <c r="AI38" s="7"/>
      <c r="AJ38" s="7"/>
      <c r="AK38" s="7"/>
    </row>
    <row r="39" spans="1:37" x14ac:dyDescent="0.25">
      <c r="V39" s="33"/>
      <c r="AH39" s="33"/>
    </row>
    <row r="40" spans="1:37" x14ac:dyDescent="0.25">
      <c r="V40" s="33"/>
      <c r="AH40" s="33"/>
    </row>
    <row r="41" spans="1:37" x14ac:dyDescent="0.25">
      <c r="U41" s="33"/>
    </row>
  </sheetData>
  <mergeCells count="43">
    <mergeCell ref="AK16:AO16"/>
    <mergeCell ref="AE24:AE25"/>
    <mergeCell ref="AF24:AF25"/>
    <mergeCell ref="Y24:Y25"/>
    <mergeCell ref="Z24:Z25"/>
    <mergeCell ref="AA24:AA25"/>
    <mergeCell ref="AB24:AB25"/>
    <mergeCell ref="AC24:AC25"/>
    <mergeCell ref="AD24:AD25"/>
    <mergeCell ref="AC3:AC4"/>
    <mergeCell ref="AD3:AD4"/>
    <mergeCell ref="AE3:AE4"/>
    <mergeCell ref="AF3:AF4"/>
    <mergeCell ref="AA3:AA4"/>
    <mergeCell ref="AB3:AB4"/>
    <mergeCell ref="B24:B25"/>
    <mergeCell ref="C24:C25"/>
    <mergeCell ref="D24:E24"/>
    <mergeCell ref="F24:G24"/>
    <mergeCell ref="M24:M25"/>
    <mergeCell ref="N24:N25"/>
    <mergeCell ref="W3:W4"/>
    <mergeCell ref="X3:X4"/>
    <mergeCell ref="Y3:Y4"/>
    <mergeCell ref="Z3:Z4"/>
    <mergeCell ref="V3:V4"/>
    <mergeCell ref="X24:X25"/>
    <mergeCell ref="O24:P24"/>
    <mergeCell ref="T24:T25"/>
    <mergeCell ref="U24:U25"/>
    <mergeCell ref="V24:V25"/>
    <mergeCell ref="W24:W25"/>
    <mergeCell ref="M3:M4"/>
    <mergeCell ref="N3:N4"/>
    <mergeCell ref="O3:R3"/>
    <mergeCell ref="T3:T4"/>
    <mergeCell ref="U3:U4"/>
    <mergeCell ref="J3:K3"/>
    <mergeCell ref="B3:B4"/>
    <mergeCell ref="C3:C4"/>
    <mergeCell ref="D3:E3"/>
    <mergeCell ref="F3:G3"/>
    <mergeCell ref="H3:I3"/>
  </mergeCells>
  <conditionalFormatting sqref="D5:F5 H5:H6 J5:J6 D6 F6 D9:F9 D10 F10 O5:R7 J9:J13 H9:H13 D11:F11 O18:R18 O9:R14 D12:D13 F12:F13">
    <cfRule type="colorScale" priority="88">
      <colorScale>
        <cfvo type="num" val="1"/>
        <cfvo type="num" val="2.5"/>
        <cfvo type="num" val="5"/>
        <color rgb="FFFF0000"/>
        <color rgb="FFFFEB84"/>
        <color rgb="FF00B050"/>
      </colorScale>
    </cfRule>
  </conditionalFormatting>
  <conditionalFormatting sqref="O15">
    <cfRule type="colorScale" priority="87">
      <colorScale>
        <cfvo type="num" val="1"/>
        <cfvo type="num" val="2.5"/>
        <cfvo type="num" val="5"/>
        <color rgb="FFFF0000"/>
        <color rgb="FFFFEB84"/>
        <color rgb="FF00B050"/>
      </colorScale>
    </cfRule>
  </conditionalFormatting>
  <conditionalFormatting sqref="P15">
    <cfRule type="colorScale" priority="86">
      <colorScale>
        <cfvo type="num" val="1"/>
        <cfvo type="num" val="2.5"/>
        <cfvo type="num" val="5"/>
        <color rgb="FFFF0000"/>
        <color rgb="FFFFEB84"/>
        <color rgb="FF00B050"/>
      </colorScale>
    </cfRule>
  </conditionalFormatting>
  <conditionalFormatting sqref="Q15">
    <cfRule type="colorScale" priority="85">
      <colorScale>
        <cfvo type="num" val="1"/>
        <cfvo type="num" val="2.5"/>
        <cfvo type="num" val="5"/>
        <color rgb="FFFF0000"/>
        <color rgb="FFFFEB84"/>
        <color rgb="FF00B050"/>
      </colorScale>
    </cfRule>
  </conditionalFormatting>
  <conditionalFormatting sqref="R15">
    <cfRule type="colorScale" priority="84">
      <colorScale>
        <cfvo type="num" val="1"/>
        <cfvo type="num" val="2.5"/>
        <cfvo type="num" val="5"/>
        <color rgb="FFFF0000"/>
        <color rgb="FFFFEB84"/>
        <color rgb="FF00B050"/>
      </colorScale>
    </cfRule>
  </conditionalFormatting>
  <conditionalFormatting sqref="H7 J7 F7 D7:D8">
    <cfRule type="colorScale" priority="83">
      <colorScale>
        <cfvo type="num" val="1"/>
        <cfvo type="num" val="2.5"/>
        <cfvo type="num" val="5"/>
        <color rgb="FFFF0000"/>
        <color rgb="FFFFEB84"/>
        <color rgb="FF00B050"/>
      </colorScale>
    </cfRule>
  </conditionalFormatting>
  <conditionalFormatting sqref="E6">
    <cfRule type="colorScale" priority="82">
      <colorScale>
        <cfvo type="num" val="1"/>
        <cfvo type="num" val="2.5"/>
        <cfvo type="num" val="5"/>
        <color rgb="FFFF0000"/>
        <color rgb="FFFFEB84"/>
        <color rgb="FF00B050"/>
      </colorScale>
    </cfRule>
  </conditionalFormatting>
  <conditionalFormatting sqref="H14 J14 D14 F14">
    <cfRule type="colorScale" priority="81">
      <colorScale>
        <cfvo type="num" val="1"/>
        <cfvo type="num" val="2.5"/>
        <cfvo type="num" val="5"/>
        <color rgb="FFFF0000"/>
        <color rgb="FFFFEB84"/>
        <color rgb="FF00B050"/>
      </colorScale>
    </cfRule>
  </conditionalFormatting>
  <conditionalFormatting sqref="O8:R8">
    <cfRule type="colorScale" priority="80">
      <colorScale>
        <cfvo type="num" val="1"/>
        <cfvo type="num" val="2.5"/>
        <cfvo type="num" val="5"/>
        <color rgb="FFFF0000"/>
        <color rgb="FFFFEB84"/>
        <color rgb="FF00B050"/>
      </colorScale>
    </cfRule>
  </conditionalFormatting>
  <conditionalFormatting sqref="F8">
    <cfRule type="colorScale" priority="79">
      <colorScale>
        <cfvo type="num" val="1"/>
        <cfvo type="num" val="2.5"/>
        <cfvo type="num" val="5"/>
        <color rgb="FFFF0000"/>
        <color rgb="FFFFEB84"/>
        <color rgb="FF00B050"/>
      </colorScale>
    </cfRule>
  </conditionalFormatting>
  <conditionalFormatting sqref="H8">
    <cfRule type="colorScale" priority="78">
      <colorScale>
        <cfvo type="num" val="1"/>
        <cfvo type="num" val="2.5"/>
        <cfvo type="num" val="5"/>
        <color rgb="FFFF0000"/>
        <color rgb="FFFFEB84"/>
        <color rgb="FF00B050"/>
      </colorScale>
    </cfRule>
  </conditionalFormatting>
  <conditionalFormatting sqref="J8">
    <cfRule type="colorScale" priority="77">
      <colorScale>
        <cfvo type="num" val="1"/>
        <cfvo type="num" val="2.5"/>
        <cfvo type="num" val="5"/>
        <color rgb="FFFF0000"/>
        <color rgb="FFFFEB84"/>
        <color rgb="FF00B050"/>
      </colorScale>
    </cfRule>
  </conditionalFormatting>
  <conditionalFormatting sqref="O5:R14">
    <cfRule type="cellIs" dxfId="72" priority="72" operator="equal">
      <formula>1</formula>
    </cfRule>
    <cfRule type="cellIs" dxfId="71" priority="73" operator="equal">
      <formula>2</formula>
    </cfRule>
    <cfRule type="cellIs" dxfId="70" priority="74" operator="equal">
      <formula>3</formula>
    </cfRule>
    <cfRule type="cellIs" dxfId="69" priority="75" operator="equal">
      <formula>5</formula>
    </cfRule>
    <cfRule type="cellIs" dxfId="68" priority="76" operator="equal">
      <formula>4</formula>
    </cfRule>
  </conditionalFormatting>
  <conditionalFormatting sqref="G5">
    <cfRule type="colorScale" priority="71">
      <colorScale>
        <cfvo type="num" val="1"/>
        <cfvo type="num" val="2.5"/>
        <cfvo type="num" val="5"/>
        <color rgb="FFFF0000"/>
        <color rgb="FFFFEB84"/>
        <color rgb="FF00B050"/>
      </colorScale>
    </cfRule>
  </conditionalFormatting>
  <conditionalFormatting sqref="I5">
    <cfRule type="colorScale" priority="70">
      <colorScale>
        <cfvo type="num" val="1"/>
        <cfvo type="num" val="2.5"/>
        <cfvo type="num" val="5"/>
        <color rgb="FFFF0000"/>
        <color rgb="FFFFEB84"/>
        <color rgb="FF00B050"/>
      </colorScale>
    </cfRule>
  </conditionalFormatting>
  <conditionalFormatting sqref="D5:D14 F5:F14 H5:H14 J5:J14">
    <cfRule type="cellIs" dxfId="67" priority="65" operator="equal">
      <formula>1</formula>
    </cfRule>
    <cfRule type="cellIs" dxfId="66" priority="66" operator="equal">
      <formula>2</formula>
    </cfRule>
    <cfRule type="cellIs" dxfId="65" priority="67" operator="equal">
      <formula>3</formula>
    </cfRule>
    <cfRule type="cellIs" dxfId="64" priority="68" operator="equal">
      <formula>4</formula>
    </cfRule>
    <cfRule type="cellIs" dxfId="63" priority="69" operator="equal">
      <formula>5</formula>
    </cfRule>
  </conditionalFormatting>
  <conditionalFormatting sqref="K5">
    <cfRule type="colorScale" priority="64">
      <colorScale>
        <cfvo type="num" val="1"/>
        <cfvo type="num" val="2.5"/>
        <cfvo type="num" val="5"/>
        <color rgb="FFFF0000"/>
        <color rgb="FFFFEB84"/>
        <color rgb="FF00B050"/>
      </colorScale>
    </cfRule>
  </conditionalFormatting>
  <conditionalFormatting sqref="K6">
    <cfRule type="colorScale" priority="63">
      <colorScale>
        <cfvo type="num" val="1"/>
        <cfvo type="num" val="2.5"/>
        <cfvo type="num" val="5"/>
        <color rgb="FFFF0000"/>
        <color rgb="FFFFEB84"/>
        <color rgb="FF00B050"/>
      </colorScale>
    </cfRule>
  </conditionalFormatting>
  <conditionalFormatting sqref="G6">
    <cfRule type="colorScale" priority="62">
      <colorScale>
        <cfvo type="num" val="1"/>
        <cfvo type="num" val="2.5"/>
        <cfvo type="num" val="5"/>
        <color rgb="FFFF0000"/>
        <color rgb="FFFFEB84"/>
        <color rgb="FF00B050"/>
      </colorScale>
    </cfRule>
  </conditionalFormatting>
  <conditionalFormatting sqref="I7">
    <cfRule type="colorScale" priority="61">
      <colorScale>
        <cfvo type="num" val="1"/>
        <cfvo type="num" val="2.5"/>
        <cfvo type="num" val="5"/>
        <color rgb="FFFF0000"/>
        <color rgb="FFFFEB84"/>
        <color rgb="FF00B050"/>
      </colorScale>
    </cfRule>
  </conditionalFormatting>
  <conditionalFormatting sqref="E7">
    <cfRule type="colorScale" priority="60">
      <colorScale>
        <cfvo type="num" val="1"/>
        <cfvo type="num" val="2.5"/>
        <cfvo type="num" val="5"/>
        <color rgb="FFFF0000"/>
        <color rgb="FFFFEB84"/>
        <color rgb="FF00B050"/>
      </colorScale>
    </cfRule>
  </conditionalFormatting>
  <conditionalFormatting sqref="E8">
    <cfRule type="colorScale" priority="59">
      <colorScale>
        <cfvo type="num" val="1"/>
        <cfvo type="num" val="2.5"/>
        <cfvo type="num" val="5"/>
        <color rgb="FFFF0000"/>
        <color rgb="FFFFEB84"/>
        <color rgb="FF00B050"/>
      </colorScale>
    </cfRule>
  </conditionalFormatting>
  <conditionalFormatting sqref="E10">
    <cfRule type="colorScale" priority="58">
      <colorScale>
        <cfvo type="num" val="1"/>
        <cfvo type="num" val="2.5"/>
        <cfvo type="num" val="5"/>
        <color rgb="FFFF0000"/>
        <color rgb="FFFFEB84"/>
        <color rgb="FF00B050"/>
      </colorScale>
    </cfRule>
  </conditionalFormatting>
  <conditionalFormatting sqref="E14">
    <cfRule type="colorScale" priority="57">
      <colorScale>
        <cfvo type="num" val="1"/>
        <cfvo type="num" val="2.5"/>
        <cfvo type="num" val="5"/>
        <color rgb="FFFF0000"/>
        <color rgb="FFFFEB84"/>
        <color rgb="FF00B050"/>
      </colorScale>
    </cfRule>
  </conditionalFormatting>
  <conditionalFormatting sqref="I10">
    <cfRule type="colorScale" priority="56">
      <colorScale>
        <cfvo type="num" val="1"/>
        <cfvo type="num" val="2.5"/>
        <cfvo type="num" val="5"/>
        <color rgb="FFFF0000"/>
        <color rgb="FFFFEB84"/>
        <color rgb="FF00B050"/>
      </colorScale>
    </cfRule>
  </conditionalFormatting>
  <conditionalFormatting sqref="D26:F26 D27 F27 D31 F31 O26:P28 O30:P35 D33:D34 F33:F34 D30:G30 D32:G32">
    <cfRule type="colorScale" priority="55">
      <colorScale>
        <cfvo type="num" val="1"/>
        <cfvo type="num" val="2.5"/>
        <cfvo type="num" val="5"/>
        <color rgb="FFFF0000"/>
        <color rgb="FFFFEB84"/>
        <color rgb="FF00B050"/>
      </colorScale>
    </cfRule>
  </conditionalFormatting>
  <conditionalFormatting sqref="O36">
    <cfRule type="colorScale" priority="54">
      <colorScale>
        <cfvo type="num" val="1"/>
        <cfvo type="num" val="2.5"/>
        <cfvo type="num" val="5"/>
        <color rgb="FFFF0000"/>
        <color rgb="FFFFEB84"/>
        <color rgb="FF00B050"/>
      </colorScale>
    </cfRule>
  </conditionalFormatting>
  <conditionalFormatting sqref="P36">
    <cfRule type="colorScale" priority="53">
      <colorScale>
        <cfvo type="num" val="1"/>
        <cfvo type="num" val="2.5"/>
        <cfvo type="num" val="5"/>
        <color rgb="FFFF0000"/>
        <color rgb="FFFFEB84"/>
        <color rgb="FF00B050"/>
      </colorScale>
    </cfRule>
  </conditionalFormatting>
  <conditionalFormatting sqref="D28:D29 F28">
    <cfRule type="colorScale" priority="52">
      <colorScale>
        <cfvo type="num" val="1"/>
        <cfvo type="num" val="2.5"/>
        <cfvo type="num" val="5"/>
        <color rgb="FFFF0000"/>
        <color rgb="FFFFEB84"/>
        <color rgb="FF00B050"/>
      </colorScale>
    </cfRule>
  </conditionalFormatting>
  <conditionalFormatting sqref="E27">
    <cfRule type="colorScale" priority="51">
      <colorScale>
        <cfvo type="num" val="1"/>
        <cfvo type="num" val="2.5"/>
        <cfvo type="num" val="5"/>
        <color rgb="FFFF0000"/>
        <color rgb="FFFFEB84"/>
        <color rgb="FF00B050"/>
      </colorScale>
    </cfRule>
  </conditionalFormatting>
  <conditionalFormatting sqref="D35 F35">
    <cfRule type="colorScale" priority="50">
      <colorScale>
        <cfvo type="num" val="1"/>
        <cfvo type="num" val="2.5"/>
        <cfvo type="num" val="5"/>
        <color rgb="FFFF0000"/>
        <color rgb="FFFFEB84"/>
        <color rgb="FF00B050"/>
      </colorScale>
    </cfRule>
  </conditionalFormatting>
  <conditionalFormatting sqref="O29:P29">
    <cfRule type="colorScale" priority="49">
      <colorScale>
        <cfvo type="num" val="1"/>
        <cfvo type="num" val="2.5"/>
        <cfvo type="num" val="5"/>
        <color rgb="FFFF0000"/>
        <color rgb="FFFFEB84"/>
        <color rgb="FF00B050"/>
      </colorScale>
    </cfRule>
  </conditionalFormatting>
  <conditionalFormatting sqref="F29">
    <cfRule type="colorScale" priority="48">
      <colorScale>
        <cfvo type="num" val="1"/>
        <cfvo type="num" val="2.5"/>
        <cfvo type="num" val="5"/>
        <color rgb="FFFF0000"/>
        <color rgb="FFFFEB84"/>
        <color rgb="FF00B050"/>
      </colorScale>
    </cfRule>
  </conditionalFormatting>
  <conditionalFormatting sqref="O26:P35">
    <cfRule type="cellIs" dxfId="62" priority="43" operator="equal">
      <formula>1</formula>
    </cfRule>
    <cfRule type="cellIs" dxfId="61" priority="44" operator="equal">
      <formula>2</formula>
    </cfRule>
    <cfRule type="cellIs" dxfId="60" priority="45" operator="equal">
      <formula>3</formula>
    </cfRule>
    <cfRule type="cellIs" dxfId="59" priority="46" operator="equal">
      <formula>5</formula>
    </cfRule>
    <cfRule type="cellIs" dxfId="58" priority="47" operator="equal">
      <formula>4</formula>
    </cfRule>
  </conditionalFormatting>
  <conditionalFormatting sqref="G26">
    <cfRule type="colorScale" priority="42">
      <colorScale>
        <cfvo type="num" val="1"/>
        <cfvo type="num" val="2.5"/>
        <cfvo type="num" val="5"/>
        <color rgb="FFFF0000"/>
        <color rgb="FFFFEB84"/>
        <color rgb="FF00B050"/>
      </colorScale>
    </cfRule>
  </conditionalFormatting>
  <conditionalFormatting sqref="D26:D35 F26:F35">
    <cfRule type="cellIs" dxfId="57" priority="37" operator="equal">
      <formula>1</formula>
    </cfRule>
    <cfRule type="cellIs" dxfId="56" priority="38" operator="equal">
      <formula>2</formula>
    </cfRule>
    <cfRule type="cellIs" dxfId="55" priority="39" operator="equal">
      <formula>3</formula>
    </cfRule>
    <cfRule type="cellIs" dxfId="54" priority="40" operator="equal">
      <formula>4</formula>
    </cfRule>
    <cfRule type="cellIs" dxfId="53" priority="41" operator="equal">
      <formula>5</formula>
    </cfRule>
  </conditionalFormatting>
  <conditionalFormatting sqref="G27">
    <cfRule type="colorScale" priority="36">
      <colorScale>
        <cfvo type="num" val="1"/>
        <cfvo type="num" val="2.5"/>
        <cfvo type="num" val="5"/>
        <color rgb="FFFF0000"/>
        <color rgb="FFFFEB84"/>
        <color rgb="FF00B050"/>
      </colorScale>
    </cfRule>
  </conditionalFormatting>
  <conditionalFormatting sqref="I6">
    <cfRule type="colorScale" priority="35">
      <colorScale>
        <cfvo type="num" val="1"/>
        <cfvo type="num" val="2.5"/>
        <cfvo type="num" val="5"/>
        <color rgb="FFFF0000"/>
        <color rgb="FFFFEB84"/>
        <color rgb="FF00B050"/>
      </colorScale>
    </cfRule>
  </conditionalFormatting>
  <conditionalFormatting sqref="G7">
    <cfRule type="colorScale" priority="34">
      <colorScale>
        <cfvo type="num" val="1"/>
        <cfvo type="num" val="2.5"/>
        <cfvo type="num" val="5"/>
        <color rgb="FFFF0000"/>
        <color rgb="FFFFEB84"/>
        <color rgb="FF00B050"/>
      </colorScale>
    </cfRule>
  </conditionalFormatting>
  <conditionalFormatting sqref="K7">
    <cfRule type="colorScale" priority="33">
      <colorScale>
        <cfvo type="num" val="1"/>
        <cfvo type="num" val="2.5"/>
        <cfvo type="num" val="5"/>
        <color rgb="FFFF0000"/>
        <color rgb="FFFFEB84"/>
        <color rgb="FF00B050"/>
      </colorScale>
    </cfRule>
  </conditionalFormatting>
  <conditionalFormatting sqref="G8">
    <cfRule type="colorScale" priority="32">
      <colorScale>
        <cfvo type="num" val="1"/>
        <cfvo type="num" val="2.5"/>
        <cfvo type="num" val="5"/>
        <color rgb="FFFF0000"/>
        <color rgb="FFFFEB84"/>
        <color rgb="FF00B050"/>
      </colorScale>
    </cfRule>
  </conditionalFormatting>
  <conditionalFormatting sqref="K8">
    <cfRule type="colorScale" priority="30">
      <colorScale>
        <cfvo type="num" val="1"/>
        <cfvo type="num" val="2.5"/>
        <cfvo type="num" val="5"/>
        <color rgb="FFFF0000"/>
        <color rgb="FFFFEB84"/>
        <color rgb="FF00B050"/>
      </colorScale>
    </cfRule>
  </conditionalFormatting>
  <conditionalFormatting sqref="G9">
    <cfRule type="colorScale" priority="29">
      <colorScale>
        <cfvo type="num" val="1"/>
        <cfvo type="num" val="2.5"/>
        <cfvo type="num" val="5"/>
        <color rgb="FFFF0000"/>
        <color rgb="FFFFEB84"/>
        <color rgb="FF00B050"/>
      </colorScale>
    </cfRule>
  </conditionalFormatting>
  <conditionalFormatting sqref="K9">
    <cfRule type="colorScale" priority="27">
      <colorScale>
        <cfvo type="num" val="1"/>
        <cfvo type="num" val="2.5"/>
        <cfvo type="num" val="5"/>
        <color rgb="FFFF0000"/>
        <color rgb="FFFFEB84"/>
        <color rgb="FF00B050"/>
      </colorScale>
    </cfRule>
  </conditionalFormatting>
  <conditionalFormatting sqref="G10">
    <cfRule type="colorScale" priority="26">
      <colorScale>
        <cfvo type="num" val="1"/>
        <cfvo type="num" val="2.5"/>
        <cfvo type="num" val="5"/>
        <color rgb="FFFF0000"/>
        <color rgb="FFFFEB84"/>
        <color rgb="FF00B050"/>
      </colorScale>
    </cfRule>
  </conditionalFormatting>
  <conditionalFormatting sqref="K10">
    <cfRule type="colorScale" priority="25">
      <colorScale>
        <cfvo type="num" val="1"/>
        <cfvo type="num" val="2.5"/>
        <cfvo type="num" val="5"/>
        <color rgb="FFFF0000"/>
        <color rgb="FFFFEB84"/>
        <color rgb="FF00B050"/>
      </colorScale>
    </cfRule>
  </conditionalFormatting>
  <conditionalFormatting sqref="G11">
    <cfRule type="colorScale" priority="24">
      <colorScale>
        <cfvo type="num" val="1"/>
        <cfvo type="num" val="2.5"/>
        <cfvo type="num" val="5"/>
        <color rgb="FFFF0000"/>
        <color rgb="FFFFEB84"/>
        <color rgb="FF00B050"/>
      </colorScale>
    </cfRule>
  </conditionalFormatting>
  <conditionalFormatting sqref="I11">
    <cfRule type="colorScale" priority="23">
      <colorScale>
        <cfvo type="num" val="1"/>
        <cfvo type="num" val="2.5"/>
        <cfvo type="num" val="5"/>
        <color rgb="FFFF0000"/>
        <color rgb="FFFFEB84"/>
        <color rgb="FF00B050"/>
      </colorScale>
    </cfRule>
  </conditionalFormatting>
  <conditionalFormatting sqref="K11">
    <cfRule type="colorScale" priority="22">
      <colorScale>
        <cfvo type="num" val="1"/>
        <cfvo type="num" val="2.5"/>
        <cfvo type="num" val="5"/>
        <color rgb="FFFF0000"/>
        <color rgb="FFFFEB84"/>
        <color rgb="FF00B050"/>
      </colorScale>
    </cfRule>
  </conditionalFormatting>
  <conditionalFormatting sqref="K12">
    <cfRule type="colorScale" priority="19">
      <colorScale>
        <cfvo type="num" val="1"/>
        <cfvo type="num" val="2.5"/>
        <cfvo type="num" val="5"/>
        <color rgb="FFFF0000"/>
        <color rgb="FFFFEB84"/>
        <color rgb="FF00B050"/>
      </colorScale>
    </cfRule>
  </conditionalFormatting>
  <conditionalFormatting sqref="G14">
    <cfRule type="colorScale" priority="18">
      <colorScale>
        <cfvo type="num" val="1"/>
        <cfvo type="num" val="2.5"/>
        <cfvo type="num" val="5"/>
        <color rgb="FFFF0000"/>
        <color rgb="FFFFEB84"/>
        <color rgb="FF00B050"/>
      </colorScale>
    </cfRule>
  </conditionalFormatting>
  <conditionalFormatting sqref="I14">
    <cfRule type="colorScale" priority="17">
      <colorScale>
        <cfvo type="num" val="1"/>
        <cfvo type="num" val="2.5"/>
        <cfvo type="num" val="5"/>
        <color rgb="FFFF0000"/>
        <color rgb="FFFFEB84"/>
        <color rgb="FF00B050"/>
      </colorScale>
    </cfRule>
  </conditionalFormatting>
  <conditionalFormatting sqref="K14">
    <cfRule type="colorScale" priority="16">
      <colorScale>
        <cfvo type="num" val="1"/>
        <cfvo type="num" val="2.5"/>
        <cfvo type="num" val="5"/>
        <color rgb="FFFF0000"/>
        <color rgb="FFFFEB84"/>
        <color rgb="FF00B050"/>
      </colorScale>
    </cfRule>
  </conditionalFormatting>
  <conditionalFormatting sqref="E28">
    <cfRule type="colorScale" priority="15">
      <colorScale>
        <cfvo type="num" val="1"/>
        <cfvo type="num" val="2.5"/>
        <cfvo type="num" val="5"/>
        <color rgb="FFFF0000"/>
        <color rgb="FFFFEB84"/>
        <color rgb="FF00B050"/>
      </colorScale>
    </cfRule>
  </conditionalFormatting>
  <conditionalFormatting sqref="G28">
    <cfRule type="colorScale" priority="14">
      <colorScale>
        <cfvo type="num" val="1"/>
        <cfvo type="num" val="2.5"/>
        <cfvo type="num" val="5"/>
        <color rgb="FFFF0000"/>
        <color rgb="FFFFEB84"/>
        <color rgb="FF00B050"/>
      </colorScale>
    </cfRule>
  </conditionalFormatting>
  <conditionalFormatting sqref="E29">
    <cfRule type="colorScale" priority="13">
      <colorScale>
        <cfvo type="num" val="1"/>
        <cfvo type="num" val="2.5"/>
        <cfvo type="num" val="5"/>
        <color rgb="FFFF0000"/>
        <color rgb="FFFFEB84"/>
        <color rgb="FF00B050"/>
      </colorScale>
    </cfRule>
  </conditionalFormatting>
  <conditionalFormatting sqref="G29">
    <cfRule type="colorScale" priority="12">
      <colorScale>
        <cfvo type="num" val="1"/>
        <cfvo type="num" val="2.5"/>
        <cfvo type="num" val="5"/>
        <color rgb="FFFF0000"/>
        <color rgb="FFFFEB84"/>
        <color rgb="FF00B050"/>
      </colorScale>
    </cfRule>
  </conditionalFormatting>
  <conditionalFormatting sqref="E31">
    <cfRule type="colorScale" priority="11">
      <colorScale>
        <cfvo type="num" val="1"/>
        <cfvo type="num" val="2.5"/>
        <cfvo type="num" val="5"/>
        <color rgb="FFFF0000"/>
        <color rgb="FFFFEB84"/>
        <color rgb="FF00B050"/>
      </colorScale>
    </cfRule>
  </conditionalFormatting>
  <conditionalFormatting sqref="G31">
    <cfRule type="colorScale" priority="10">
      <colorScale>
        <cfvo type="num" val="1"/>
        <cfvo type="num" val="2.5"/>
        <cfvo type="num" val="5"/>
        <color rgb="FFFF0000"/>
        <color rgb="FFFFEB84"/>
        <color rgb="FF00B050"/>
      </colorScale>
    </cfRule>
  </conditionalFormatting>
  <conditionalFormatting sqref="E33">
    <cfRule type="colorScale" priority="9">
      <colorScale>
        <cfvo type="num" val="1"/>
        <cfvo type="num" val="2.5"/>
        <cfvo type="num" val="5"/>
        <color rgb="FFFF0000"/>
        <color rgb="FFFFEB84"/>
        <color rgb="FF00B050"/>
      </colorScale>
    </cfRule>
  </conditionalFormatting>
  <conditionalFormatting sqref="E35">
    <cfRule type="colorScale" priority="8">
      <colorScale>
        <cfvo type="num" val="1"/>
        <cfvo type="num" val="2.5"/>
        <cfvo type="num" val="5"/>
        <color rgb="FFFF0000"/>
        <color rgb="FFFFEB84"/>
        <color rgb="FF00B050"/>
      </colorScale>
    </cfRule>
  </conditionalFormatting>
  <conditionalFormatting sqref="G35">
    <cfRule type="colorScale" priority="7">
      <colorScale>
        <cfvo type="num" val="1"/>
        <cfvo type="num" val="2.5"/>
        <cfvo type="num" val="5"/>
        <color rgb="FFFF0000"/>
        <color rgb="FFFFEB84"/>
        <color rgb="FF00B050"/>
      </colorScale>
    </cfRule>
  </conditionalFormatting>
  <conditionalFormatting sqref="G33">
    <cfRule type="colorScale" priority="6">
      <colorScale>
        <cfvo type="num" val="1"/>
        <cfvo type="num" val="2.5"/>
        <cfvo type="num" val="5"/>
        <color rgb="FFFF0000"/>
        <color rgb="FFFFEB84"/>
        <color rgb="FF00B050"/>
      </colorScale>
    </cfRule>
  </conditionalFormatting>
  <conditionalFormatting sqref="I8">
    <cfRule type="colorScale" priority="5">
      <colorScale>
        <cfvo type="num" val="1"/>
        <cfvo type="num" val="2.5"/>
        <cfvo type="num" val="5"/>
        <color rgb="FFFF0000"/>
        <color rgb="FFFFEB84"/>
        <color rgb="FF00B050"/>
      </colorScale>
    </cfRule>
  </conditionalFormatting>
  <conditionalFormatting sqref="I9">
    <cfRule type="colorScale" priority="4">
      <colorScale>
        <cfvo type="num" val="1"/>
        <cfvo type="num" val="2.5"/>
        <cfvo type="num" val="5"/>
        <color rgb="FFFF0000"/>
        <color rgb="FFFFEB84"/>
        <color rgb="FF00B050"/>
      </colorScale>
    </cfRule>
  </conditionalFormatting>
  <conditionalFormatting sqref="G12">
    <cfRule type="colorScale" priority="2">
      <colorScale>
        <cfvo type="num" val="1"/>
        <cfvo type="num" val="2.5"/>
        <cfvo type="num" val="5"/>
        <color rgb="FFFF0000"/>
        <color rgb="FFFFEB84"/>
        <color rgb="FF00B050"/>
      </colorScale>
    </cfRule>
  </conditionalFormatting>
  <conditionalFormatting sqref="I12">
    <cfRule type="colorScale" priority="1">
      <colorScale>
        <cfvo type="num" val="1"/>
        <cfvo type="num" val="2.5"/>
        <cfvo type="num" val="5"/>
        <color rgb="FFFF0000"/>
        <color rgb="FFFFEB84"/>
        <color rgb="FF00B050"/>
      </colorScale>
    </cfRule>
  </conditionalFormatting>
  <pageMargins left="0.7" right="0.7" top="0.75" bottom="0.75" header="0.3" footer="0.3"/>
  <pageSetup paperSize="9" scale="13" orientation="landscape"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CA2A4B-4BFD-4BBC-82AB-D7933149C069}">
  <sheetPr>
    <pageSetUpPr fitToPage="1"/>
  </sheetPr>
  <dimension ref="A1:AO41"/>
  <sheetViews>
    <sheetView topLeftCell="A13" zoomScale="55" zoomScaleNormal="55" workbookViewId="0">
      <selection activeCell="E33" sqref="E33"/>
    </sheetView>
  </sheetViews>
  <sheetFormatPr defaultColWidth="9.109375" defaultRowHeight="13.8" x14ac:dyDescent="0.25"/>
  <cols>
    <col min="1" max="1" width="2.33203125" style="8" customWidth="1"/>
    <col min="2" max="2" width="16.109375" style="8" customWidth="1"/>
    <col min="3" max="3" width="12.33203125" style="8" customWidth="1"/>
    <col min="4" max="4" width="7.109375" style="8" customWidth="1"/>
    <col min="5" max="5" width="60.6640625" style="8" customWidth="1"/>
    <col min="6" max="6" width="7.44140625" style="8" customWidth="1"/>
    <col min="7" max="7" width="60.6640625" style="8" customWidth="1"/>
    <col min="8" max="8" width="9.44140625" style="8" customWidth="1"/>
    <col min="9" max="9" width="60.6640625" style="8" customWidth="1"/>
    <col min="10" max="10" width="7.44140625" style="8" customWidth="1"/>
    <col min="11" max="11" width="60.6640625" style="8" customWidth="1"/>
    <col min="12" max="12" width="9.109375" style="33"/>
    <col min="13" max="13" width="14.6640625" style="8" customWidth="1"/>
    <col min="14" max="14" width="12.6640625" style="8" customWidth="1"/>
    <col min="15" max="15" width="9.109375" style="8" customWidth="1"/>
    <col min="16" max="18" width="9.109375" style="8"/>
    <col min="19" max="19" width="9.109375" style="33"/>
    <col min="20" max="32" width="19.6640625" style="8" customWidth="1"/>
    <col min="33" max="35" width="9.109375" style="8"/>
    <col min="36" max="36" width="11.77734375" style="8" customWidth="1"/>
    <col min="37" max="37" width="16.21875" style="8" customWidth="1"/>
    <col min="38" max="38" width="15.77734375" style="8" customWidth="1"/>
    <col min="39" max="39" width="17.5546875" style="8" customWidth="1"/>
    <col min="40" max="40" width="14.109375" style="8" customWidth="1"/>
    <col min="41" max="41" width="17.5546875" style="8" customWidth="1"/>
    <col min="42" max="16384" width="9.109375" style="8"/>
  </cols>
  <sheetData>
    <row r="1" spans="1:41" ht="14.25" customHeight="1" x14ac:dyDescent="0.25">
      <c r="A1" s="7"/>
      <c r="B1" s="7"/>
      <c r="C1" s="7"/>
      <c r="D1" s="7"/>
      <c r="E1" s="7"/>
      <c r="F1" s="7"/>
      <c r="H1" s="7"/>
      <c r="I1" s="7"/>
      <c r="J1" s="7"/>
      <c r="K1" s="7"/>
      <c r="L1" s="32"/>
      <c r="M1" s="7"/>
      <c r="N1" s="7"/>
      <c r="O1" s="7"/>
      <c r="P1" s="7"/>
      <c r="Q1" s="7"/>
      <c r="R1" s="7"/>
      <c r="S1" s="32"/>
      <c r="T1" s="7"/>
      <c r="U1" s="7"/>
      <c r="V1" s="7"/>
      <c r="W1" s="7"/>
      <c r="X1" s="7"/>
      <c r="Y1" s="7"/>
      <c r="Z1" s="7"/>
      <c r="AA1" s="7"/>
      <c r="AB1" s="7"/>
      <c r="AC1" s="7"/>
      <c r="AD1" s="7"/>
      <c r="AE1" s="7"/>
    </row>
    <row r="2" spans="1:41" ht="16.2" thickBot="1" x14ac:dyDescent="0.35">
      <c r="A2" s="7"/>
      <c r="B2" s="15" t="s">
        <v>0</v>
      </c>
      <c r="C2" s="7"/>
      <c r="D2" s="7"/>
      <c r="E2" s="7"/>
      <c r="F2" s="7"/>
      <c r="G2" s="7"/>
      <c r="H2" s="7"/>
      <c r="I2" s="7"/>
      <c r="J2" s="7"/>
      <c r="K2" s="7"/>
      <c r="L2" s="32"/>
      <c r="M2" s="15" t="s">
        <v>1</v>
      </c>
      <c r="N2" s="7"/>
      <c r="O2" s="7"/>
      <c r="P2" s="7"/>
      <c r="Q2" s="7"/>
      <c r="R2" s="7"/>
      <c r="S2" s="32"/>
      <c r="T2" s="15" t="s">
        <v>2</v>
      </c>
      <c r="U2" s="7"/>
      <c r="V2" s="7"/>
      <c r="W2" s="7"/>
      <c r="X2" s="7"/>
      <c r="Y2" s="7"/>
      <c r="Z2" s="7"/>
      <c r="AA2" s="7"/>
      <c r="AB2" s="7"/>
      <c r="AC2" s="7"/>
      <c r="AD2" s="7"/>
      <c r="AE2" s="7"/>
    </row>
    <row r="3" spans="1:41" ht="14.4" customHeight="1" x14ac:dyDescent="0.25">
      <c r="A3" s="7"/>
      <c r="B3" s="360" t="s">
        <v>3</v>
      </c>
      <c r="C3" s="362" t="s">
        <v>4</v>
      </c>
      <c r="D3" s="362" t="s">
        <v>139</v>
      </c>
      <c r="E3" s="362"/>
      <c r="F3" s="362" t="s">
        <v>140</v>
      </c>
      <c r="G3" s="362"/>
      <c r="H3" s="362" t="s">
        <v>141</v>
      </c>
      <c r="I3" s="362"/>
      <c r="J3" s="362" t="s">
        <v>142</v>
      </c>
      <c r="K3" s="377"/>
      <c r="L3" s="32"/>
      <c r="M3" s="366" t="s">
        <v>3</v>
      </c>
      <c r="N3" s="364" t="s">
        <v>13</v>
      </c>
      <c r="O3" s="369" t="s">
        <v>14</v>
      </c>
      <c r="P3" s="369"/>
      <c r="Q3" s="369"/>
      <c r="R3" s="370"/>
      <c r="S3" s="32"/>
      <c r="T3" s="371"/>
      <c r="U3" s="354" t="s">
        <v>15</v>
      </c>
      <c r="V3" s="354" t="s">
        <v>16</v>
      </c>
      <c r="W3" s="354" t="s">
        <v>17</v>
      </c>
      <c r="X3" s="354" t="s">
        <v>18</v>
      </c>
      <c r="Y3" s="354" t="s">
        <v>19</v>
      </c>
      <c r="Z3" s="354" t="s">
        <v>20</v>
      </c>
      <c r="AA3" s="354" t="s">
        <v>21</v>
      </c>
      <c r="AB3" s="354" t="s">
        <v>22</v>
      </c>
      <c r="AC3" s="354" t="s">
        <v>238</v>
      </c>
      <c r="AD3" s="354" t="s">
        <v>23</v>
      </c>
      <c r="AE3" s="356" t="s">
        <v>24</v>
      </c>
      <c r="AF3" s="358" t="s">
        <v>25</v>
      </c>
      <c r="AG3" s="7"/>
      <c r="AJ3" s="29" t="s">
        <v>56</v>
      </c>
      <c r="AK3" s="7"/>
      <c r="AL3" s="7"/>
      <c r="AM3" s="7"/>
      <c r="AN3" s="7"/>
      <c r="AO3" s="7"/>
    </row>
    <row r="4" spans="1:41" ht="35.4" customHeight="1" thickBot="1" x14ac:dyDescent="0.3">
      <c r="A4" s="9"/>
      <c r="B4" s="361"/>
      <c r="C4" s="363"/>
      <c r="D4" s="113" t="s">
        <v>14</v>
      </c>
      <c r="E4" s="113" t="s">
        <v>26</v>
      </c>
      <c r="F4" s="113" t="s">
        <v>14</v>
      </c>
      <c r="G4" s="113" t="s">
        <v>26</v>
      </c>
      <c r="H4" s="113" t="s">
        <v>14</v>
      </c>
      <c r="I4" s="113" t="s">
        <v>26</v>
      </c>
      <c r="J4" s="113" t="s">
        <v>14</v>
      </c>
      <c r="K4" s="114" t="s">
        <v>26</v>
      </c>
      <c r="L4" s="32"/>
      <c r="M4" s="367"/>
      <c r="N4" s="368"/>
      <c r="O4" s="113" t="s">
        <v>139</v>
      </c>
      <c r="P4" s="113" t="s">
        <v>140</v>
      </c>
      <c r="Q4" s="113" t="s">
        <v>141</v>
      </c>
      <c r="R4" s="114" t="s">
        <v>142</v>
      </c>
      <c r="S4" s="32"/>
      <c r="T4" s="372"/>
      <c r="U4" s="355"/>
      <c r="V4" s="355"/>
      <c r="W4" s="355"/>
      <c r="X4" s="355"/>
      <c r="Y4" s="355"/>
      <c r="Z4" s="355"/>
      <c r="AA4" s="355"/>
      <c r="AB4" s="355"/>
      <c r="AC4" s="355"/>
      <c r="AD4" s="355"/>
      <c r="AE4" s="357"/>
      <c r="AF4" s="359"/>
      <c r="AG4" s="9"/>
      <c r="AJ4" s="195" t="s">
        <v>14</v>
      </c>
      <c r="AK4" s="195">
        <v>5</v>
      </c>
      <c r="AL4" s="195">
        <v>4</v>
      </c>
      <c r="AM4" s="195">
        <v>3</v>
      </c>
      <c r="AN4" s="195">
        <v>2</v>
      </c>
      <c r="AO4" s="195">
        <v>1</v>
      </c>
    </row>
    <row r="5" spans="1:41" ht="62.4" customHeight="1" x14ac:dyDescent="0.25">
      <c r="A5" s="7"/>
      <c r="B5" s="50" t="s">
        <v>15</v>
      </c>
      <c r="C5" s="51">
        <f t="shared" ref="C5:D13" si="0">N5</f>
        <v>8.6021505376344093E-2</v>
      </c>
      <c r="D5" s="52">
        <f t="shared" si="0"/>
        <v>4</v>
      </c>
      <c r="E5" s="53" t="s">
        <v>31</v>
      </c>
      <c r="F5" s="52">
        <f t="shared" ref="F5:F13" si="1">P5</f>
        <v>4</v>
      </c>
      <c r="G5" s="53" t="s">
        <v>31</v>
      </c>
      <c r="H5" s="52">
        <f t="shared" ref="H5:H13" si="2">Q5</f>
        <v>4</v>
      </c>
      <c r="I5" s="53" t="s">
        <v>31</v>
      </c>
      <c r="J5" s="52">
        <f t="shared" ref="J5:J13" si="3">R5</f>
        <v>4</v>
      </c>
      <c r="K5" s="55" t="s">
        <v>31</v>
      </c>
      <c r="L5" s="32"/>
      <c r="M5" s="50" t="s">
        <v>15</v>
      </c>
      <c r="N5" s="51">
        <f t="shared" ref="N5:N14" si="4">AF5</f>
        <v>8.6021505376344093E-2</v>
      </c>
      <c r="O5" s="52">
        <v>4</v>
      </c>
      <c r="P5" s="52">
        <v>4</v>
      </c>
      <c r="Q5" s="52">
        <v>4</v>
      </c>
      <c r="R5" s="121">
        <v>4</v>
      </c>
      <c r="S5" s="32"/>
      <c r="T5" s="18" t="s">
        <v>15</v>
      </c>
      <c r="U5" s="25"/>
      <c r="V5" s="96">
        <v>2</v>
      </c>
      <c r="W5" s="96">
        <v>1</v>
      </c>
      <c r="X5" s="96">
        <v>2</v>
      </c>
      <c r="Y5" s="96">
        <v>0</v>
      </c>
      <c r="Z5" s="96">
        <v>1</v>
      </c>
      <c r="AA5" s="96">
        <v>0</v>
      </c>
      <c r="AB5" s="96">
        <v>0</v>
      </c>
      <c r="AC5" s="189">
        <v>1</v>
      </c>
      <c r="AD5" s="97">
        <v>1</v>
      </c>
      <c r="AE5" s="16">
        <f t="shared" ref="AE5:AE14" si="5">SUM(U5:AD5)</f>
        <v>8</v>
      </c>
      <c r="AF5" s="26">
        <f t="shared" ref="AF5:AF14" si="6">AE5/$AE$15</f>
        <v>8.6021505376344093E-2</v>
      </c>
      <c r="AG5" s="7"/>
      <c r="AJ5" s="196" t="s">
        <v>21</v>
      </c>
      <c r="AK5" s="211" t="s">
        <v>326</v>
      </c>
      <c r="AL5" s="211" t="s">
        <v>325</v>
      </c>
      <c r="AM5" s="211" t="s">
        <v>324</v>
      </c>
      <c r="AN5" s="211" t="s">
        <v>323</v>
      </c>
      <c r="AO5" s="211" t="s">
        <v>322</v>
      </c>
    </row>
    <row r="6" spans="1:41" ht="53.4" customHeight="1" x14ac:dyDescent="0.25">
      <c r="A6" s="7"/>
      <c r="B6" s="50" t="s">
        <v>16</v>
      </c>
      <c r="C6" s="51">
        <f t="shared" si="0"/>
        <v>5.3763440860215055E-2</v>
      </c>
      <c r="D6" s="52">
        <f t="shared" si="0"/>
        <v>2</v>
      </c>
      <c r="E6" s="53" t="s">
        <v>301</v>
      </c>
      <c r="F6" s="52">
        <f t="shared" si="1"/>
        <v>4</v>
      </c>
      <c r="G6" s="53" t="s">
        <v>303</v>
      </c>
      <c r="H6" s="52">
        <f t="shared" si="2"/>
        <v>3</v>
      </c>
      <c r="I6" s="53" t="s">
        <v>302</v>
      </c>
      <c r="J6" s="52">
        <f>R6</f>
        <v>4</v>
      </c>
      <c r="K6" s="55" t="s">
        <v>304</v>
      </c>
      <c r="L6" s="32"/>
      <c r="M6" s="50" t="s">
        <v>16</v>
      </c>
      <c r="N6" s="51">
        <f t="shared" si="4"/>
        <v>5.3763440860215055E-2</v>
      </c>
      <c r="O6" s="122">
        <v>2</v>
      </c>
      <c r="P6" s="122">
        <v>4</v>
      </c>
      <c r="Q6" s="122">
        <v>3</v>
      </c>
      <c r="R6" s="123">
        <v>4</v>
      </c>
      <c r="S6" s="32"/>
      <c r="T6" s="19" t="s">
        <v>16</v>
      </c>
      <c r="U6" s="98">
        <v>0</v>
      </c>
      <c r="V6" s="27"/>
      <c r="W6" s="98">
        <v>1</v>
      </c>
      <c r="X6" s="98">
        <v>1</v>
      </c>
      <c r="Y6" s="98">
        <v>0</v>
      </c>
      <c r="Z6" s="98">
        <v>1</v>
      </c>
      <c r="AA6" s="98">
        <v>0</v>
      </c>
      <c r="AB6" s="98">
        <v>0</v>
      </c>
      <c r="AC6" s="190">
        <v>1</v>
      </c>
      <c r="AD6" s="99">
        <v>1</v>
      </c>
      <c r="AE6" s="17">
        <f t="shared" si="5"/>
        <v>5</v>
      </c>
      <c r="AF6" s="28">
        <f t="shared" si="6"/>
        <v>5.3763440860215055E-2</v>
      </c>
      <c r="AG6" s="7"/>
      <c r="AJ6" s="196" t="s">
        <v>15</v>
      </c>
      <c r="AK6" s="146" t="s">
        <v>62</v>
      </c>
      <c r="AL6" s="146" t="s">
        <v>63</v>
      </c>
      <c r="AM6" s="146" t="s">
        <v>64</v>
      </c>
      <c r="AN6" s="146" t="s">
        <v>65</v>
      </c>
      <c r="AO6" s="146" t="s">
        <v>66</v>
      </c>
    </row>
    <row r="7" spans="1:41" ht="66" x14ac:dyDescent="0.25">
      <c r="A7" s="7"/>
      <c r="B7" s="50" t="s">
        <v>39</v>
      </c>
      <c r="C7" s="51">
        <f t="shared" si="0"/>
        <v>5.3763440860215055E-2</v>
      </c>
      <c r="D7" s="52">
        <f t="shared" si="0"/>
        <v>4</v>
      </c>
      <c r="E7" s="53" t="s">
        <v>40</v>
      </c>
      <c r="F7" s="52">
        <f t="shared" si="1"/>
        <v>2</v>
      </c>
      <c r="G7" s="53" t="s">
        <v>41</v>
      </c>
      <c r="H7" s="52">
        <f t="shared" si="2"/>
        <v>2</v>
      </c>
      <c r="I7" s="53" t="s">
        <v>41</v>
      </c>
      <c r="J7" s="52">
        <f t="shared" si="3"/>
        <v>2</v>
      </c>
      <c r="K7" s="55" t="s">
        <v>41</v>
      </c>
      <c r="L7" s="32"/>
      <c r="M7" s="50" t="s">
        <v>39</v>
      </c>
      <c r="N7" s="51">
        <f t="shared" si="4"/>
        <v>5.3763440860215055E-2</v>
      </c>
      <c r="O7" s="52">
        <v>4</v>
      </c>
      <c r="P7" s="52">
        <v>2</v>
      </c>
      <c r="Q7" s="52">
        <v>2</v>
      </c>
      <c r="R7" s="121">
        <v>2</v>
      </c>
      <c r="S7" s="32"/>
      <c r="T7" s="19" t="s">
        <v>42</v>
      </c>
      <c r="U7" s="98">
        <v>1</v>
      </c>
      <c r="V7" s="98">
        <v>1</v>
      </c>
      <c r="W7" s="27"/>
      <c r="X7" s="98">
        <v>1</v>
      </c>
      <c r="Y7" s="98">
        <v>0</v>
      </c>
      <c r="Z7" s="98">
        <v>1</v>
      </c>
      <c r="AA7" s="98">
        <v>0</v>
      </c>
      <c r="AB7" s="98">
        <v>0</v>
      </c>
      <c r="AC7" s="190">
        <v>0</v>
      </c>
      <c r="AD7" s="99">
        <v>1</v>
      </c>
      <c r="AE7" s="17">
        <f t="shared" si="5"/>
        <v>5</v>
      </c>
      <c r="AF7" s="28">
        <f t="shared" si="6"/>
        <v>5.3763440860215055E-2</v>
      </c>
      <c r="AG7" s="7"/>
      <c r="AJ7" s="196" t="s">
        <v>16</v>
      </c>
      <c r="AK7" s="144" t="s">
        <v>67</v>
      </c>
      <c r="AL7" s="144" t="s">
        <v>68</v>
      </c>
      <c r="AM7" s="144" t="s">
        <v>69</v>
      </c>
      <c r="AN7" s="144" t="s">
        <v>70</v>
      </c>
      <c r="AO7" s="144" t="s">
        <v>71</v>
      </c>
    </row>
    <row r="8" spans="1:41" ht="91.95" customHeight="1" x14ac:dyDescent="0.25">
      <c r="A8" s="7"/>
      <c r="B8" s="50" t="s">
        <v>18</v>
      </c>
      <c r="C8" s="51">
        <f t="shared" si="0"/>
        <v>4.3010752688172046E-2</v>
      </c>
      <c r="D8" s="52">
        <f t="shared" si="0"/>
        <v>4</v>
      </c>
      <c r="E8" s="53" t="s">
        <v>43</v>
      </c>
      <c r="F8" s="52">
        <f t="shared" si="1"/>
        <v>2</v>
      </c>
      <c r="G8" s="53" t="s">
        <v>305</v>
      </c>
      <c r="H8" s="52">
        <f t="shared" si="2"/>
        <v>2</v>
      </c>
      <c r="I8" s="53" t="s">
        <v>305</v>
      </c>
      <c r="J8" s="52">
        <f t="shared" si="3"/>
        <v>2</v>
      </c>
      <c r="K8" s="55" t="s">
        <v>305</v>
      </c>
      <c r="L8" s="32"/>
      <c r="M8" s="50" t="s">
        <v>18</v>
      </c>
      <c r="N8" s="51">
        <f t="shared" si="4"/>
        <v>4.3010752688172046E-2</v>
      </c>
      <c r="O8" s="52">
        <v>4</v>
      </c>
      <c r="P8" s="52">
        <v>2</v>
      </c>
      <c r="Q8" s="52">
        <v>2</v>
      </c>
      <c r="R8" s="121">
        <v>2</v>
      </c>
      <c r="S8" s="32"/>
      <c r="T8" s="19" t="s">
        <v>18</v>
      </c>
      <c r="U8" s="98">
        <v>0</v>
      </c>
      <c r="V8" s="98">
        <v>1</v>
      </c>
      <c r="W8" s="98">
        <v>1</v>
      </c>
      <c r="X8" s="27"/>
      <c r="Y8" s="98">
        <v>0</v>
      </c>
      <c r="Z8" s="98">
        <v>1</v>
      </c>
      <c r="AA8" s="98">
        <v>0</v>
      </c>
      <c r="AB8" s="98">
        <v>0</v>
      </c>
      <c r="AC8" s="190">
        <v>0</v>
      </c>
      <c r="AD8" s="99">
        <v>1</v>
      </c>
      <c r="AE8" s="17">
        <f t="shared" si="5"/>
        <v>4</v>
      </c>
      <c r="AF8" s="28">
        <f t="shared" si="6"/>
        <v>4.3010752688172046E-2</v>
      </c>
      <c r="AG8" s="7"/>
      <c r="AJ8" s="196" t="s">
        <v>39</v>
      </c>
      <c r="AK8" s="144" t="s">
        <v>72</v>
      </c>
      <c r="AL8" s="144" t="s">
        <v>73</v>
      </c>
      <c r="AM8" s="144" t="s">
        <v>74</v>
      </c>
      <c r="AN8" s="144" t="s">
        <v>75</v>
      </c>
      <c r="AO8" s="144" t="s">
        <v>76</v>
      </c>
    </row>
    <row r="9" spans="1:41" ht="79.2" x14ac:dyDescent="0.25">
      <c r="A9" s="7"/>
      <c r="B9" s="50" t="s">
        <v>19</v>
      </c>
      <c r="C9" s="51">
        <f t="shared" si="0"/>
        <v>0.15053763440860216</v>
      </c>
      <c r="D9" s="52">
        <f t="shared" si="0"/>
        <v>5</v>
      </c>
      <c r="E9" s="53" t="s">
        <v>311</v>
      </c>
      <c r="F9" s="56">
        <f t="shared" si="1"/>
        <v>3</v>
      </c>
      <c r="G9" s="53" t="s">
        <v>306</v>
      </c>
      <c r="H9" s="56">
        <f t="shared" si="2"/>
        <v>3</v>
      </c>
      <c r="I9" s="53" t="s">
        <v>306</v>
      </c>
      <c r="J9" s="56">
        <f t="shared" si="3"/>
        <v>3</v>
      </c>
      <c r="K9" s="55" t="s">
        <v>306</v>
      </c>
      <c r="L9" s="32"/>
      <c r="M9" s="50" t="s">
        <v>19</v>
      </c>
      <c r="N9" s="51">
        <f t="shared" si="4"/>
        <v>0.15053763440860216</v>
      </c>
      <c r="O9" s="52">
        <v>5</v>
      </c>
      <c r="P9" s="52">
        <v>3</v>
      </c>
      <c r="Q9" s="52">
        <v>3</v>
      </c>
      <c r="R9" s="121">
        <v>3</v>
      </c>
      <c r="S9" s="32"/>
      <c r="T9" s="19" t="s">
        <v>19</v>
      </c>
      <c r="U9" s="98">
        <v>2</v>
      </c>
      <c r="V9" s="98">
        <v>2</v>
      </c>
      <c r="W9" s="98">
        <v>2</v>
      </c>
      <c r="X9" s="98">
        <v>2</v>
      </c>
      <c r="Y9" s="27"/>
      <c r="Z9" s="98">
        <v>2</v>
      </c>
      <c r="AA9" s="98">
        <v>1</v>
      </c>
      <c r="AB9" s="98">
        <v>1</v>
      </c>
      <c r="AC9" s="190">
        <v>1</v>
      </c>
      <c r="AD9" s="99">
        <v>1</v>
      </c>
      <c r="AE9" s="17">
        <f t="shared" si="5"/>
        <v>14</v>
      </c>
      <c r="AF9" s="28">
        <f t="shared" si="6"/>
        <v>0.15053763440860216</v>
      </c>
      <c r="AG9" s="7"/>
      <c r="AJ9" s="196" t="s">
        <v>18</v>
      </c>
      <c r="AK9" s="144" t="s">
        <v>77</v>
      </c>
      <c r="AL9" s="144" t="s">
        <v>78</v>
      </c>
      <c r="AM9" s="144" t="s">
        <v>79</v>
      </c>
      <c r="AN9" s="144" t="s">
        <v>80</v>
      </c>
      <c r="AO9" s="144" t="s">
        <v>81</v>
      </c>
    </row>
    <row r="10" spans="1:41" ht="40.200000000000003" customHeight="1" x14ac:dyDescent="0.25">
      <c r="A10" s="7"/>
      <c r="B10" s="57" t="s">
        <v>20</v>
      </c>
      <c r="C10" s="58">
        <f t="shared" si="0"/>
        <v>5.3763440860215055E-2</v>
      </c>
      <c r="D10" s="52">
        <f t="shared" si="0"/>
        <v>2</v>
      </c>
      <c r="E10" s="53" t="s">
        <v>133</v>
      </c>
      <c r="F10" s="52">
        <f t="shared" si="1"/>
        <v>3</v>
      </c>
      <c r="G10" s="53" t="s">
        <v>307</v>
      </c>
      <c r="H10" s="52">
        <f t="shared" si="2"/>
        <v>3</v>
      </c>
      <c r="I10" s="53" t="s">
        <v>307</v>
      </c>
      <c r="J10" s="52">
        <f t="shared" si="3"/>
        <v>3</v>
      </c>
      <c r="K10" s="55" t="s">
        <v>307</v>
      </c>
      <c r="L10" s="32"/>
      <c r="M10" s="50" t="s">
        <v>20</v>
      </c>
      <c r="N10" s="51">
        <f t="shared" si="4"/>
        <v>5.3763440860215055E-2</v>
      </c>
      <c r="O10" s="52">
        <v>2</v>
      </c>
      <c r="P10" s="52">
        <v>3</v>
      </c>
      <c r="Q10" s="52">
        <v>3</v>
      </c>
      <c r="R10" s="121">
        <v>3</v>
      </c>
      <c r="S10" s="32"/>
      <c r="T10" s="19" t="s">
        <v>20</v>
      </c>
      <c r="U10" s="98">
        <v>1</v>
      </c>
      <c r="V10" s="98">
        <v>1</v>
      </c>
      <c r="W10" s="98">
        <v>1</v>
      </c>
      <c r="X10" s="98">
        <v>1</v>
      </c>
      <c r="Y10" s="98">
        <v>0</v>
      </c>
      <c r="Z10" s="27"/>
      <c r="AA10" s="98">
        <v>0</v>
      </c>
      <c r="AB10" s="98">
        <v>0</v>
      </c>
      <c r="AC10" s="190">
        <v>0</v>
      </c>
      <c r="AD10" s="99">
        <v>1</v>
      </c>
      <c r="AE10" s="17">
        <f t="shared" si="5"/>
        <v>5</v>
      </c>
      <c r="AF10" s="28">
        <f t="shared" si="6"/>
        <v>5.3763440860215055E-2</v>
      </c>
      <c r="AG10" s="7"/>
      <c r="AJ10" s="197" t="s">
        <v>19</v>
      </c>
      <c r="AK10" s="146" t="s">
        <v>82</v>
      </c>
      <c r="AL10" s="146" t="s">
        <v>83</v>
      </c>
      <c r="AM10" s="146" t="s">
        <v>84</v>
      </c>
      <c r="AN10" s="146" t="s">
        <v>85</v>
      </c>
      <c r="AO10" s="146" t="s">
        <v>86</v>
      </c>
    </row>
    <row r="11" spans="1:41" ht="44.4" customHeight="1" x14ac:dyDescent="0.25">
      <c r="A11" s="7"/>
      <c r="B11" s="50" t="s">
        <v>21</v>
      </c>
      <c r="C11" s="51">
        <f t="shared" si="0"/>
        <v>0.15053763440860216</v>
      </c>
      <c r="D11" s="52">
        <f t="shared" si="0"/>
        <v>2</v>
      </c>
      <c r="E11" s="53" t="s">
        <v>308</v>
      </c>
      <c r="F11" s="52">
        <f t="shared" si="1"/>
        <v>3</v>
      </c>
      <c r="G11" s="53" t="s">
        <v>309</v>
      </c>
      <c r="H11" s="52">
        <f t="shared" si="2"/>
        <v>3</v>
      </c>
      <c r="I11" s="53" t="s">
        <v>310</v>
      </c>
      <c r="J11" s="52">
        <f t="shared" si="3"/>
        <v>3</v>
      </c>
      <c r="K11" s="55" t="s">
        <v>309</v>
      </c>
      <c r="L11" s="32"/>
      <c r="M11" s="50" t="s">
        <v>21</v>
      </c>
      <c r="N11" s="51">
        <f t="shared" si="4"/>
        <v>0.15053763440860216</v>
      </c>
      <c r="O11" s="52">
        <v>2</v>
      </c>
      <c r="P11" s="52">
        <v>3</v>
      </c>
      <c r="Q11" s="52">
        <v>3</v>
      </c>
      <c r="R11" s="121">
        <v>3</v>
      </c>
      <c r="S11" s="32"/>
      <c r="T11" s="19" t="s">
        <v>21</v>
      </c>
      <c r="U11" s="98">
        <v>2</v>
      </c>
      <c r="V11" s="98">
        <v>2</v>
      </c>
      <c r="W11" s="98">
        <v>2</v>
      </c>
      <c r="X11" s="98">
        <v>2</v>
      </c>
      <c r="Y11" s="98">
        <v>1</v>
      </c>
      <c r="Z11" s="98">
        <v>2</v>
      </c>
      <c r="AA11" s="27"/>
      <c r="AB11" s="98">
        <v>1</v>
      </c>
      <c r="AC11" s="190">
        <v>1</v>
      </c>
      <c r="AD11" s="99">
        <v>1</v>
      </c>
      <c r="AE11" s="17">
        <f t="shared" si="5"/>
        <v>14</v>
      </c>
      <c r="AF11" s="28">
        <f t="shared" si="6"/>
        <v>0.15053763440860216</v>
      </c>
      <c r="AG11" s="7"/>
      <c r="AJ11" s="197" t="s">
        <v>20</v>
      </c>
      <c r="AK11" s="146" t="s">
        <v>87</v>
      </c>
      <c r="AL11" s="146" t="s">
        <v>88</v>
      </c>
      <c r="AM11" s="146" t="s">
        <v>89</v>
      </c>
      <c r="AN11" s="146" t="s">
        <v>90</v>
      </c>
      <c r="AO11" s="146" t="s">
        <v>91</v>
      </c>
    </row>
    <row r="12" spans="1:41" ht="91.8" customHeight="1" x14ac:dyDescent="0.25">
      <c r="A12" s="7"/>
      <c r="B12" s="50" t="s">
        <v>22</v>
      </c>
      <c r="C12" s="51">
        <f t="shared" si="0"/>
        <v>0.16129032258064516</v>
      </c>
      <c r="D12" s="52">
        <f t="shared" si="0"/>
        <v>3</v>
      </c>
      <c r="E12" s="54" t="s">
        <v>313</v>
      </c>
      <c r="F12" s="52">
        <f t="shared" si="1"/>
        <v>3</v>
      </c>
      <c r="G12" s="53" t="s">
        <v>312</v>
      </c>
      <c r="H12" s="52">
        <f t="shared" si="2"/>
        <v>3</v>
      </c>
      <c r="I12" s="53" t="s">
        <v>312</v>
      </c>
      <c r="J12" s="52">
        <f t="shared" si="3"/>
        <v>3</v>
      </c>
      <c r="K12" s="55" t="s">
        <v>312</v>
      </c>
      <c r="L12" s="32"/>
      <c r="M12" s="50" t="s">
        <v>22</v>
      </c>
      <c r="N12" s="51">
        <f t="shared" si="4"/>
        <v>0.16129032258064516</v>
      </c>
      <c r="O12" s="52">
        <v>3</v>
      </c>
      <c r="P12" s="52">
        <v>3</v>
      </c>
      <c r="Q12" s="52">
        <v>3</v>
      </c>
      <c r="R12" s="121">
        <v>3</v>
      </c>
      <c r="S12" s="32"/>
      <c r="T12" s="19" t="s">
        <v>22</v>
      </c>
      <c r="U12" s="98">
        <v>2</v>
      </c>
      <c r="V12" s="98">
        <v>2</v>
      </c>
      <c r="W12" s="98">
        <v>2</v>
      </c>
      <c r="X12" s="98">
        <v>2</v>
      </c>
      <c r="Y12" s="98">
        <v>1</v>
      </c>
      <c r="Z12" s="98">
        <v>2</v>
      </c>
      <c r="AA12" s="98">
        <v>1</v>
      </c>
      <c r="AB12" s="27"/>
      <c r="AC12" s="194">
        <v>1</v>
      </c>
      <c r="AD12" s="99">
        <v>2</v>
      </c>
      <c r="AE12" s="17">
        <f t="shared" si="5"/>
        <v>15</v>
      </c>
      <c r="AF12" s="28">
        <f t="shared" si="6"/>
        <v>0.16129032258064516</v>
      </c>
      <c r="AG12" s="7"/>
      <c r="AJ12" s="197" t="s">
        <v>22</v>
      </c>
      <c r="AK12" s="146" t="s">
        <v>92</v>
      </c>
      <c r="AL12" s="146" t="s">
        <v>93</v>
      </c>
      <c r="AM12" s="146" t="s">
        <v>94</v>
      </c>
      <c r="AN12" s="146" t="s">
        <v>95</v>
      </c>
      <c r="AO12" s="146" t="s">
        <v>96</v>
      </c>
    </row>
    <row r="13" spans="1:41" ht="43.2" customHeight="1" x14ac:dyDescent="0.25">
      <c r="A13" s="7"/>
      <c r="B13" s="50" t="s">
        <v>238</v>
      </c>
      <c r="C13" s="51">
        <f>N13</f>
        <v>0.16129032258064516</v>
      </c>
      <c r="D13" s="52">
        <f t="shared" si="0"/>
        <v>4</v>
      </c>
      <c r="E13" s="54" t="s">
        <v>314</v>
      </c>
      <c r="F13" s="52">
        <f t="shared" si="1"/>
        <v>4</v>
      </c>
      <c r="G13" s="54" t="s">
        <v>314</v>
      </c>
      <c r="H13" s="52">
        <f t="shared" si="2"/>
        <v>4</v>
      </c>
      <c r="I13" s="54" t="s">
        <v>314</v>
      </c>
      <c r="J13" s="52">
        <f t="shared" si="3"/>
        <v>4</v>
      </c>
      <c r="K13" s="120" t="s">
        <v>314</v>
      </c>
      <c r="L13" s="32"/>
      <c r="M13" s="50" t="str">
        <f>T13</f>
        <v>Construction Duration</v>
      </c>
      <c r="N13" s="51">
        <f>AF13</f>
        <v>0.16129032258064516</v>
      </c>
      <c r="O13" s="52">
        <v>4</v>
      </c>
      <c r="P13" s="52">
        <v>4</v>
      </c>
      <c r="Q13" s="52">
        <v>4</v>
      </c>
      <c r="R13" s="121">
        <v>4</v>
      </c>
      <c r="S13" s="32"/>
      <c r="T13" s="186" t="s">
        <v>238</v>
      </c>
      <c r="U13" s="187">
        <v>2</v>
      </c>
      <c r="V13" s="187">
        <v>2</v>
      </c>
      <c r="W13" s="187">
        <v>2</v>
      </c>
      <c r="X13" s="187">
        <v>2</v>
      </c>
      <c r="Y13" s="187">
        <v>1</v>
      </c>
      <c r="Z13" s="187">
        <v>2</v>
      </c>
      <c r="AA13" s="187">
        <v>1</v>
      </c>
      <c r="AB13" s="193">
        <v>1</v>
      </c>
      <c r="AC13" s="191"/>
      <c r="AD13" s="188">
        <v>2</v>
      </c>
      <c r="AE13" s="17">
        <f t="shared" ref="AE13" si="7">SUM(U13:AD13)</f>
        <v>15</v>
      </c>
      <c r="AF13" s="28">
        <f t="shared" si="6"/>
        <v>0.16129032258064516</v>
      </c>
      <c r="AG13" s="7"/>
      <c r="AJ13" s="197" t="s">
        <v>238</v>
      </c>
      <c r="AK13" s="198" t="s">
        <v>239</v>
      </c>
      <c r="AL13" s="198" t="s">
        <v>241</v>
      </c>
      <c r="AM13" s="198" t="s">
        <v>242</v>
      </c>
      <c r="AN13" s="198" t="s">
        <v>243</v>
      </c>
      <c r="AO13" s="198" t="s">
        <v>240</v>
      </c>
    </row>
    <row r="14" spans="1:41" ht="34.950000000000003" customHeight="1" thickBot="1" x14ac:dyDescent="0.3">
      <c r="A14" s="7"/>
      <c r="B14" s="57" t="s">
        <v>23</v>
      </c>
      <c r="C14" s="58">
        <f>N14</f>
        <v>8.6021505376344093E-2</v>
      </c>
      <c r="D14" s="52">
        <f>O14</f>
        <v>2</v>
      </c>
      <c r="E14" s="53" t="s">
        <v>315</v>
      </c>
      <c r="F14" s="52">
        <f>P14</f>
        <v>3</v>
      </c>
      <c r="G14" s="53" t="s">
        <v>316</v>
      </c>
      <c r="H14" s="52">
        <f>Q14</f>
        <v>3</v>
      </c>
      <c r="I14" s="53" t="s">
        <v>316</v>
      </c>
      <c r="J14" s="52">
        <f>R14</f>
        <v>3</v>
      </c>
      <c r="K14" s="55" t="s">
        <v>316</v>
      </c>
      <c r="L14" s="32"/>
      <c r="M14" s="50" t="s">
        <v>23</v>
      </c>
      <c r="N14" s="51">
        <f t="shared" si="4"/>
        <v>8.6021505376344093E-2</v>
      </c>
      <c r="O14" s="122">
        <v>2</v>
      </c>
      <c r="P14" s="122">
        <v>3</v>
      </c>
      <c r="Q14" s="122">
        <v>3</v>
      </c>
      <c r="R14" s="123">
        <v>3</v>
      </c>
      <c r="S14" s="32"/>
      <c r="T14" s="104" t="s">
        <v>23</v>
      </c>
      <c r="U14" s="100">
        <v>1</v>
      </c>
      <c r="V14" s="100">
        <v>1</v>
      </c>
      <c r="W14" s="100">
        <v>1</v>
      </c>
      <c r="X14" s="100">
        <v>1</v>
      </c>
      <c r="Y14" s="100">
        <v>1</v>
      </c>
      <c r="Z14" s="100">
        <v>1</v>
      </c>
      <c r="AA14" s="100">
        <v>1</v>
      </c>
      <c r="AB14" s="100">
        <v>0</v>
      </c>
      <c r="AC14" s="192">
        <v>1</v>
      </c>
      <c r="AD14" s="101"/>
      <c r="AE14" s="105">
        <f t="shared" si="5"/>
        <v>8</v>
      </c>
      <c r="AF14" s="106">
        <f t="shared" si="6"/>
        <v>8.6021505376344093E-2</v>
      </c>
      <c r="AG14" s="7"/>
      <c r="AJ14" s="197" t="s">
        <v>23</v>
      </c>
      <c r="AK14" s="211" t="s">
        <v>97</v>
      </c>
      <c r="AL14" s="211" t="s">
        <v>98</v>
      </c>
      <c r="AM14" s="211" t="s">
        <v>99</v>
      </c>
      <c r="AN14" s="211" t="s">
        <v>100</v>
      </c>
      <c r="AO14" s="211" t="s">
        <v>101</v>
      </c>
    </row>
    <row r="15" spans="1:41" ht="24.9" customHeight="1" thickBot="1" x14ac:dyDescent="0.3">
      <c r="B15" s="115" t="s">
        <v>24</v>
      </c>
      <c r="C15" s="116">
        <f>SUM(C5:C14)</f>
        <v>1</v>
      </c>
      <c r="D15" s="59"/>
      <c r="E15" s="117">
        <f>SUMPRODUCT($C$5:$C$14,D5:D14)</f>
        <v>3.301075268817204</v>
      </c>
      <c r="F15" s="118"/>
      <c r="G15" s="117">
        <f>SUMPRODUCT($C$5:$C$14,F5:F14)</f>
        <v>3.2043010752688179</v>
      </c>
      <c r="H15" s="118"/>
      <c r="I15" s="117">
        <f>SUMPRODUCT($C$5:$C$14,H5:H14)</f>
        <v>3.150537634408602</v>
      </c>
      <c r="J15" s="118"/>
      <c r="K15" s="119">
        <f>SUMPRODUCT($C$5:$C$14,J5:J14)</f>
        <v>3.2043010752688179</v>
      </c>
      <c r="L15" s="32"/>
      <c r="M15" s="124" t="s">
        <v>24</v>
      </c>
      <c r="N15" s="125">
        <f>SUM(N5:N14)</f>
        <v>1</v>
      </c>
      <c r="O15" s="126">
        <f>SUMPRODUCT($N$5:$N$14,O5:O14)</f>
        <v>3.301075268817204</v>
      </c>
      <c r="P15" s="126">
        <f>SUMPRODUCT($N$5:$N$14,P5:P14)</f>
        <v>3.2043010752688179</v>
      </c>
      <c r="Q15" s="126">
        <f>SUMPRODUCT($N$5:$N$14,Q5:Q14)</f>
        <v>3.150537634408602</v>
      </c>
      <c r="R15" s="127">
        <f t="shared" ref="R15" si="8">SUMPRODUCT($N$5:$N$14,R5:R14)</f>
        <v>3.2043010752688179</v>
      </c>
      <c r="S15" s="32"/>
      <c r="T15" s="35"/>
      <c r="U15" s="35"/>
      <c r="V15" s="35"/>
      <c r="W15" s="35"/>
      <c r="X15" s="35"/>
      <c r="Y15" s="35"/>
      <c r="Z15" s="35"/>
      <c r="AA15" s="35"/>
      <c r="AB15" s="35"/>
      <c r="AC15" s="35"/>
      <c r="AD15" s="35"/>
      <c r="AE15" s="102">
        <f>SUM(AE5:AE14)</f>
        <v>93</v>
      </c>
      <c r="AF15" s="103">
        <f>SUM(AF5:AF14)</f>
        <v>1</v>
      </c>
    </row>
    <row r="16" spans="1:41" ht="16.2" thickBot="1" x14ac:dyDescent="0.3">
      <c r="B16" s="7"/>
      <c r="C16" s="29" t="b">
        <f>C15=N15</f>
        <v>1</v>
      </c>
      <c r="D16" s="7" t="b">
        <f>SUM(D5:D14)=SUM(O5:O14)</f>
        <v>1</v>
      </c>
      <c r="E16" s="29" t="b">
        <f>E15=O15</f>
        <v>1</v>
      </c>
      <c r="F16" s="7" t="b">
        <f>SUM(F5:F14)=SUM(P5:P14)</f>
        <v>1</v>
      </c>
      <c r="G16" s="29" t="b">
        <f>G15=P15</f>
        <v>1</v>
      </c>
      <c r="H16" s="7" t="b">
        <f>SUM(H5:H14)=SUM(Q5:Q14)</f>
        <v>1</v>
      </c>
      <c r="I16" s="29" t="b">
        <f>I15=Q15</f>
        <v>1</v>
      </c>
      <c r="J16" s="7" t="b">
        <f>SUM(J5:J14)=SUM(R5:R14)</f>
        <v>1</v>
      </c>
      <c r="K16" s="29" t="b">
        <f>R15=K15</f>
        <v>1</v>
      </c>
      <c r="L16" s="32"/>
      <c r="M16" s="128" t="s">
        <v>55</v>
      </c>
      <c r="N16" s="129"/>
      <c r="O16" s="130">
        <f>RANK(O15,$O$15:$R$15,1)</f>
        <v>4</v>
      </c>
      <c r="P16" s="130">
        <f>RANK(P15,$O$15:$R$15,1)</f>
        <v>2</v>
      </c>
      <c r="Q16" s="130">
        <f>RANK(Q15,$O$15:$R$15,1)</f>
        <v>1</v>
      </c>
      <c r="R16" s="131">
        <f>RANK(R15,$O$15:$R$15,1)</f>
        <v>2</v>
      </c>
      <c r="T16" s="7"/>
      <c r="U16" s="7"/>
      <c r="V16" s="7"/>
      <c r="W16" s="7"/>
      <c r="X16" s="7"/>
      <c r="Y16" s="7"/>
      <c r="Z16" s="7"/>
      <c r="AA16" s="7"/>
      <c r="AB16" s="7"/>
      <c r="AC16" s="7"/>
      <c r="AD16" s="7"/>
      <c r="AE16" s="7"/>
      <c r="AF16" s="10"/>
      <c r="AG16" s="10"/>
    </row>
    <row r="17" spans="1:37" ht="22.5" customHeight="1" x14ac:dyDescent="0.25">
      <c r="I17" s="7"/>
      <c r="J17" s="7"/>
      <c r="K17" s="7"/>
      <c r="M17" s="30"/>
      <c r="N17" s="31"/>
      <c r="O17" s="36" t="str">
        <f>IF(O16=1,"BEST","-")</f>
        <v>-</v>
      </c>
      <c r="P17" s="36" t="str">
        <f t="shared" ref="P17:R17" si="9">IF(P16=1,"BEST","-")</f>
        <v>-</v>
      </c>
      <c r="Q17" s="36" t="str">
        <f t="shared" si="9"/>
        <v>BEST</v>
      </c>
      <c r="R17" s="36" t="str">
        <f t="shared" si="9"/>
        <v>-</v>
      </c>
      <c r="T17" s="7"/>
      <c r="U17" s="7"/>
      <c r="V17" s="7"/>
      <c r="W17" s="7"/>
      <c r="X17" s="7"/>
      <c r="Y17" s="7"/>
      <c r="Z17" s="7"/>
      <c r="AA17" s="7"/>
      <c r="AB17" s="7"/>
      <c r="AC17" s="7"/>
      <c r="AD17" s="7"/>
      <c r="AE17" s="7"/>
    </row>
    <row r="18" spans="1:37" x14ac:dyDescent="0.25">
      <c r="M18" s="20"/>
      <c r="N18" s="14"/>
      <c r="O18" s="23"/>
      <c r="P18" s="23"/>
      <c r="Q18" s="23"/>
      <c r="R18" s="23"/>
    </row>
    <row r="22" spans="1:37" ht="14.25" customHeight="1" x14ac:dyDescent="0.25">
      <c r="A22" s="7"/>
      <c r="B22" s="7"/>
      <c r="C22" s="7"/>
      <c r="D22" s="7"/>
      <c r="E22" s="7"/>
      <c r="F22" s="7"/>
      <c r="H22" s="7"/>
      <c r="I22" s="7"/>
      <c r="J22" s="7"/>
      <c r="K22" s="7"/>
      <c r="L22" s="32"/>
      <c r="M22" s="7"/>
      <c r="N22" s="7"/>
      <c r="O22" s="7"/>
      <c r="P22" s="7"/>
      <c r="Q22" s="7"/>
      <c r="R22" s="7"/>
      <c r="S22" s="32"/>
      <c r="T22" s="7"/>
      <c r="U22" s="7"/>
      <c r="V22" s="7"/>
      <c r="W22" s="7"/>
      <c r="X22" s="7"/>
      <c r="Y22" s="7"/>
      <c r="Z22" s="7"/>
      <c r="AA22" s="7"/>
      <c r="AB22" s="7"/>
      <c r="AC22" s="7"/>
      <c r="AD22" s="7"/>
      <c r="AE22" s="7"/>
      <c r="AF22" s="7"/>
      <c r="AG22" s="7"/>
    </row>
    <row r="23" spans="1:37" ht="16.2" thickBot="1" x14ac:dyDescent="0.35">
      <c r="A23" s="7"/>
      <c r="B23" s="15" t="s">
        <v>0</v>
      </c>
      <c r="C23" s="7"/>
      <c r="D23" s="7"/>
      <c r="E23" s="7"/>
      <c r="F23" s="7"/>
      <c r="G23" s="7"/>
      <c r="H23" s="7"/>
      <c r="M23" s="7"/>
      <c r="N23" s="7"/>
      <c r="O23" s="7"/>
      <c r="P23" s="7"/>
      <c r="Q23" s="7"/>
      <c r="T23" s="7"/>
      <c r="U23" s="7"/>
      <c r="V23" s="32"/>
      <c r="W23" s="15"/>
      <c r="X23" s="7"/>
      <c r="Y23" s="7"/>
      <c r="Z23" s="7"/>
      <c r="AA23" s="7"/>
      <c r="AB23" s="7"/>
      <c r="AC23" s="7"/>
      <c r="AD23" s="7"/>
      <c r="AE23" s="7"/>
      <c r="AF23" s="7"/>
      <c r="AG23" s="7"/>
      <c r="AH23" s="32"/>
      <c r="AI23" s="15"/>
      <c r="AJ23" s="7"/>
      <c r="AK23" s="7"/>
    </row>
    <row r="24" spans="1:37" ht="14.4" customHeight="1" x14ac:dyDescent="0.25">
      <c r="A24" s="7"/>
      <c r="B24" s="360" t="s">
        <v>3</v>
      </c>
      <c r="C24" s="362" t="s">
        <v>4</v>
      </c>
      <c r="D24" s="362" t="s">
        <v>143</v>
      </c>
      <c r="E24" s="362"/>
      <c r="F24" s="362" t="s">
        <v>144</v>
      </c>
      <c r="G24" s="377"/>
      <c r="H24" s="32"/>
      <c r="M24" s="366" t="s">
        <v>3</v>
      </c>
      <c r="N24" s="364" t="s">
        <v>13</v>
      </c>
      <c r="O24" s="369" t="s">
        <v>14</v>
      </c>
      <c r="P24" s="370"/>
      <c r="Q24" s="32"/>
      <c r="T24" s="371"/>
      <c r="U24" s="352" t="s">
        <v>15</v>
      </c>
      <c r="V24" s="352" t="s">
        <v>16</v>
      </c>
      <c r="W24" s="352" t="s">
        <v>17</v>
      </c>
      <c r="X24" s="352" t="s">
        <v>18</v>
      </c>
      <c r="Y24" s="352" t="s">
        <v>19</v>
      </c>
      <c r="Z24" s="352" t="s">
        <v>20</v>
      </c>
      <c r="AA24" s="352" t="s">
        <v>21</v>
      </c>
      <c r="AB24" s="352" t="s">
        <v>22</v>
      </c>
      <c r="AC24" s="354" t="s">
        <v>238</v>
      </c>
      <c r="AD24" s="373" t="s">
        <v>23</v>
      </c>
      <c r="AE24" s="375" t="s">
        <v>24</v>
      </c>
      <c r="AF24" s="373" t="s">
        <v>25</v>
      </c>
      <c r="AG24" s="7"/>
    </row>
    <row r="25" spans="1:37" ht="35.4" customHeight="1" thickBot="1" x14ac:dyDescent="0.3">
      <c r="A25" s="9"/>
      <c r="B25" s="361"/>
      <c r="C25" s="363"/>
      <c r="D25" s="113" t="s">
        <v>14</v>
      </c>
      <c r="E25" s="113" t="s">
        <v>26</v>
      </c>
      <c r="F25" s="113" t="s">
        <v>14</v>
      </c>
      <c r="G25" s="114" t="s">
        <v>26</v>
      </c>
      <c r="H25" s="32"/>
      <c r="M25" s="367"/>
      <c r="N25" s="368"/>
      <c r="O25" s="113" t="s">
        <v>143</v>
      </c>
      <c r="P25" s="114" t="s">
        <v>144</v>
      </c>
      <c r="Q25" s="32"/>
      <c r="T25" s="372"/>
      <c r="U25" s="353"/>
      <c r="V25" s="353"/>
      <c r="W25" s="353"/>
      <c r="X25" s="353"/>
      <c r="Y25" s="353"/>
      <c r="Z25" s="353"/>
      <c r="AA25" s="353"/>
      <c r="AB25" s="353"/>
      <c r="AC25" s="355"/>
      <c r="AD25" s="374"/>
      <c r="AE25" s="376"/>
      <c r="AF25" s="374"/>
      <c r="AG25" s="9"/>
    </row>
    <row r="26" spans="1:37" ht="62.4" customHeight="1" x14ac:dyDescent="0.25">
      <c r="A26" s="7"/>
      <c r="B26" s="50" t="s">
        <v>15</v>
      </c>
      <c r="C26" s="51">
        <f t="shared" ref="C26:C35" si="10">N26</f>
        <v>8.6021505376344093E-2</v>
      </c>
      <c r="D26" s="52">
        <f t="shared" ref="D26:D35" si="11">O26</f>
        <v>4</v>
      </c>
      <c r="E26" s="53" t="s">
        <v>31</v>
      </c>
      <c r="F26" s="52">
        <f t="shared" ref="F26:F35" si="12">P26</f>
        <v>4</v>
      </c>
      <c r="G26" s="55" t="s">
        <v>31</v>
      </c>
      <c r="H26" s="32"/>
      <c r="M26" s="50" t="s">
        <v>15</v>
      </c>
      <c r="N26" s="51">
        <f t="shared" ref="N26:N35" si="13">AF26</f>
        <v>8.6021505376344093E-2</v>
      </c>
      <c r="O26" s="52">
        <v>4</v>
      </c>
      <c r="P26" s="121">
        <v>4</v>
      </c>
      <c r="Q26" s="32"/>
      <c r="T26" s="18" t="s">
        <v>15</v>
      </c>
      <c r="U26" s="25"/>
      <c r="V26" s="96">
        <v>2</v>
      </c>
      <c r="W26" s="96">
        <v>1</v>
      </c>
      <c r="X26" s="96">
        <v>2</v>
      </c>
      <c r="Y26" s="96">
        <v>0</v>
      </c>
      <c r="Z26" s="96">
        <v>1</v>
      </c>
      <c r="AA26" s="96">
        <v>0</v>
      </c>
      <c r="AB26" s="96">
        <v>0</v>
      </c>
      <c r="AC26" s="189">
        <v>1</v>
      </c>
      <c r="AD26" s="97">
        <v>1</v>
      </c>
      <c r="AE26" s="16">
        <f t="shared" ref="AE26:AE35" si="14">SUM(U26:AD26)</f>
        <v>8</v>
      </c>
      <c r="AF26" s="26">
        <f t="shared" ref="AF26:AF35" si="15">AE26/$AE$15</f>
        <v>8.6021505376344093E-2</v>
      </c>
      <c r="AG26" s="7"/>
    </row>
    <row r="27" spans="1:37" ht="46.8" customHeight="1" x14ac:dyDescent="0.25">
      <c r="A27" s="7"/>
      <c r="B27" s="50" t="s">
        <v>16</v>
      </c>
      <c r="C27" s="51">
        <f t="shared" si="10"/>
        <v>5.3763440860215055E-2</v>
      </c>
      <c r="D27" s="52">
        <f t="shared" si="11"/>
        <v>5</v>
      </c>
      <c r="E27" s="53" t="s">
        <v>317</v>
      </c>
      <c r="F27" s="52">
        <f t="shared" si="12"/>
        <v>4</v>
      </c>
      <c r="G27" s="55" t="s">
        <v>318</v>
      </c>
      <c r="H27" s="32"/>
      <c r="M27" s="50" t="s">
        <v>16</v>
      </c>
      <c r="N27" s="51">
        <f t="shared" si="13"/>
        <v>5.3763440860215055E-2</v>
      </c>
      <c r="O27" s="122">
        <v>5</v>
      </c>
      <c r="P27" s="123">
        <v>4</v>
      </c>
      <c r="Q27" s="32"/>
      <c r="T27" s="19" t="s">
        <v>16</v>
      </c>
      <c r="U27" s="98">
        <v>0</v>
      </c>
      <c r="V27" s="27"/>
      <c r="W27" s="98">
        <v>1</v>
      </c>
      <c r="X27" s="98">
        <v>1</v>
      </c>
      <c r="Y27" s="98">
        <v>0</v>
      </c>
      <c r="Z27" s="98">
        <v>1</v>
      </c>
      <c r="AA27" s="98">
        <v>0</v>
      </c>
      <c r="AB27" s="98">
        <v>0</v>
      </c>
      <c r="AC27" s="190">
        <v>1</v>
      </c>
      <c r="AD27" s="99">
        <v>1</v>
      </c>
      <c r="AE27" s="17">
        <f t="shared" si="14"/>
        <v>5</v>
      </c>
      <c r="AF27" s="28">
        <f t="shared" si="15"/>
        <v>5.3763440860215055E-2</v>
      </c>
      <c r="AG27" s="7"/>
    </row>
    <row r="28" spans="1:37" ht="39.6" x14ac:dyDescent="0.25">
      <c r="A28" s="7"/>
      <c r="B28" s="50" t="s">
        <v>39</v>
      </c>
      <c r="C28" s="51">
        <f t="shared" si="10"/>
        <v>5.3763440860215055E-2</v>
      </c>
      <c r="D28" s="52">
        <f t="shared" si="11"/>
        <v>2</v>
      </c>
      <c r="E28" s="53" t="s">
        <v>41</v>
      </c>
      <c r="F28" s="52">
        <f t="shared" si="12"/>
        <v>2</v>
      </c>
      <c r="G28" s="55" t="s">
        <v>41</v>
      </c>
      <c r="H28" s="32"/>
      <c r="M28" s="50" t="s">
        <v>39</v>
      </c>
      <c r="N28" s="51">
        <f t="shared" si="13"/>
        <v>5.3763440860215055E-2</v>
      </c>
      <c r="O28" s="52">
        <v>2</v>
      </c>
      <c r="P28" s="121">
        <v>2</v>
      </c>
      <c r="Q28" s="32"/>
      <c r="T28" s="19" t="s">
        <v>42</v>
      </c>
      <c r="U28" s="98">
        <v>1</v>
      </c>
      <c r="V28" s="98">
        <v>1</v>
      </c>
      <c r="W28" s="27"/>
      <c r="X28" s="98">
        <v>1</v>
      </c>
      <c r="Y28" s="98">
        <v>0</v>
      </c>
      <c r="Z28" s="98">
        <v>1</v>
      </c>
      <c r="AA28" s="98">
        <v>0</v>
      </c>
      <c r="AB28" s="98">
        <v>0</v>
      </c>
      <c r="AC28" s="190">
        <v>0</v>
      </c>
      <c r="AD28" s="99">
        <v>1</v>
      </c>
      <c r="AE28" s="17">
        <f t="shared" si="14"/>
        <v>5</v>
      </c>
      <c r="AF28" s="28">
        <f t="shared" si="15"/>
        <v>5.3763440860215055E-2</v>
      </c>
      <c r="AG28" s="7"/>
    </row>
    <row r="29" spans="1:37" ht="43.2" customHeight="1" x14ac:dyDescent="0.25">
      <c r="A29" s="7"/>
      <c r="B29" s="50" t="s">
        <v>18</v>
      </c>
      <c r="C29" s="51">
        <f t="shared" si="10"/>
        <v>4.3010752688172046E-2</v>
      </c>
      <c r="D29" s="52">
        <f t="shared" si="11"/>
        <v>2</v>
      </c>
      <c r="E29" s="53" t="s">
        <v>305</v>
      </c>
      <c r="F29" s="52">
        <f t="shared" si="12"/>
        <v>2</v>
      </c>
      <c r="G29" s="55" t="s">
        <v>305</v>
      </c>
      <c r="H29" s="32"/>
      <c r="M29" s="50" t="s">
        <v>18</v>
      </c>
      <c r="N29" s="51">
        <f t="shared" si="13"/>
        <v>4.3010752688172046E-2</v>
      </c>
      <c r="O29" s="52">
        <v>2</v>
      </c>
      <c r="P29" s="121">
        <v>2</v>
      </c>
      <c r="Q29" s="32"/>
      <c r="T29" s="19" t="s">
        <v>18</v>
      </c>
      <c r="U29" s="98">
        <v>0</v>
      </c>
      <c r="V29" s="98">
        <v>1</v>
      </c>
      <c r="W29" s="98">
        <v>1</v>
      </c>
      <c r="X29" s="27"/>
      <c r="Y29" s="98">
        <v>0</v>
      </c>
      <c r="Z29" s="98">
        <v>1</v>
      </c>
      <c r="AA29" s="98">
        <v>0</v>
      </c>
      <c r="AB29" s="98">
        <v>0</v>
      </c>
      <c r="AC29" s="190">
        <v>0</v>
      </c>
      <c r="AD29" s="99">
        <v>1</v>
      </c>
      <c r="AE29" s="17">
        <f t="shared" si="14"/>
        <v>4</v>
      </c>
      <c r="AF29" s="28">
        <f t="shared" si="15"/>
        <v>4.3010752688172046E-2</v>
      </c>
      <c r="AG29" s="7"/>
    </row>
    <row r="30" spans="1:37" ht="39.6" x14ac:dyDescent="0.25">
      <c r="A30" s="7"/>
      <c r="B30" s="50" t="s">
        <v>19</v>
      </c>
      <c r="C30" s="51">
        <f t="shared" si="10"/>
        <v>0.15053763440860216</v>
      </c>
      <c r="D30" s="52">
        <f t="shared" si="11"/>
        <v>4</v>
      </c>
      <c r="E30" s="53" t="s">
        <v>319</v>
      </c>
      <c r="F30" s="56">
        <f t="shared" si="12"/>
        <v>4</v>
      </c>
      <c r="G30" s="55" t="s">
        <v>320</v>
      </c>
      <c r="H30" s="32"/>
      <c r="M30" s="50" t="s">
        <v>19</v>
      </c>
      <c r="N30" s="51">
        <f t="shared" si="13"/>
        <v>0.15053763440860216</v>
      </c>
      <c r="O30" s="52">
        <v>4</v>
      </c>
      <c r="P30" s="121">
        <v>4</v>
      </c>
      <c r="Q30" s="32"/>
      <c r="T30" s="19" t="s">
        <v>19</v>
      </c>
      <c r="U30" s="98">
        <v>2</v>
      </c>
      <c r="V30" s="98">
        <v>2</v>
      </c>
      <c r="W30" s="98">
        <v>2</v>
      </c>
      <c r="X30" s="98">
        <v>2</v>
      </c>
      <c r="Y30" s="27"/>
      <c r="Z30" s="98">
        <v>2</v>
      </c>
      <c r="AA30" s="98">
        <v>1</v>
      </c>
      <c r="AB30" s="98">
        <v>1</v>
      </c>
      <c r="AC30" s="190">
        <v>1</v>
      </c>
      <c r="AD30" s="99">
        <v>1</v>
      </c>
      <c r="AE30" s="17">
        <f t="shared" si="14"/>
        <v>14</v>
      </c>
      <c r="AF30" s="28">
        <f t="shared" si="15"/>
        <v>0.15053763440860216</v>
      </c>
      <c r="AG30" s="7"/>
    </row>
    <row r="31" spans="1:37" ht="40.200000000000003" customHeight="1" x14ac:dyDescent="0.25">
      <c r="A31" s="7"/>
      <c r="B31" s="57" t="s">
        <v>20</v>
      </c>
      <c r="C31" s="58">
        <f t="shared" si="10"/>
        <v>5.3763440860215055E-2</v>
      </c>
      <c r="D31" s="52">
        <f t="shared" si="11"/>
        <v>3</v>
      </c>
      <c r="E31" s="53" t="s">
        <v>307</v>
      </c>
      <c r="F31" s="52">
        <f t="shared" si="12"/>
        <v>3</v>
      </c>
      <c r="G31" s="55" t="s">
        <v>307</v>
      </c>
      <c r="H31" s="32"/>
      <c r="M31" s="50" t="s">
        <v>20</v>
      </c>
      <c r="N31" s="51">
        <f t="shared" si="13"/>
        <v>5.3763440860215055E-2</v>
      </c>
      <c r="O31" s="52">
        <v>3</v>
      </c>
      <c r="P31" s="121">
        <v>3</v>
      </c>
      <c r="Q31" s="32"/>
      <c r="T31" s="19" t="s">
        <v>20</v>
      </c>
      <c r="U31" s="98">
        <v>1</v>
      </c>
      <c r="V31" s="98">
        <v>1</v>
      </c>
      <c r="W31" s="98">
        <v>1</v>
      </c>
      <c r="X31" s="98">
        <v>1</v>
      </c>
      <c r="Y31" s="98">
        <v>0</v>
      </c>
      <c r="Z31" s="27"/>
      <c r="AA31" s="98">
        <v>0</v>
      </c>
      <c r="AB31" s="98">
        <v>0</v>
      </c>
      <c r="AC31" s="190">
        <v>0</v>
      </c>
      <c r="AD31" s="99">
        <v>1</v>
      </c>
      <c r="AE31" s="17">
        <f t="shared" si="14"/>
        <v>5</v>
      </c>
      <c r="AF31" s="28">
        <f t="shared" si="15"/>
        <v>5.3763440860215055E-2</v>
      </c>
      <c r="AG31" s="7"/>
    </row>
    <row r="32" spans="1:37" x14ac:dyDescent="0.25">
      <c r="A32" s="7"/>
      <c r="B32" s="50" t="s">
        <v>21</v>
      </c>
      <c r="C32" s="51">
        <f t="shared" si="10"/>
        <v>0.15053763440860216</v>
      </c>
      <c r="D32" s="52">
        <f t="shared" si="11"/>
        <v>2</v>
      </c>
      <c r="E32" s="53" t="s">
        <v>321</v>
      </c>
      <c r="F32" s="52">
        <f t="shared" si="12"/>
        <v>2</v>
      </c>
      <c r="G32" s="55" t="s">
        <v>321</v>
      </c>
      <c r="H32" s="32"/>
      <c r="M32" s="50" t="s">
        <v>21</v>
      </c>
      <c r="N32" s="51">
        <f t="shared" si="13"/>
        <v>0.15053763440860216</v>
      </c>
      <c r="O32" s="52">
        <v>2</v>
      </c>
      <c r="P32" s="121">
        <v>2</v>
      </c>
      <c r="Q32" s="32"/>
      <c r="T32" s="19" t="s">
        <v>21</v>
      </c>
      <c r="U32" s="98">
        <v>2</v>
      </c>
      <c r="V32" s="98">
        <v>2</v>
      </c>
      <c r="W32" s="98">
        <v>2</v>
      </c>
      <c r="X32" s="98">
        <v>2</v>
      </c>
      <c r="Y32" s="98">
        <v>1</v>
      </c>
      <c r="Z32" s="98">
        <v>2</v>
      </c>
      <c r="AA32" s="27"/>
      <c r="AB32" s="98">
        <v>1</v>
      </c>
      <c r="AC32" s="190">
        <v>1</v>
      </c>
      <c r="AD32" s="99">
        <v>1</v>
      </c>
      <c r="AE32" s="17">
        <f t="shared" si="14"/>
        <v>14</v>
      </c>
      <c r="AF32" s="28">
        <f t="shared" si="15"/>
        <v>0.15053763440860216</v>
      </c>
      <c r="AG32" s="7"/>
    </row>
    <row r="33" spans="1:37" ht="75.599999999999994" customHeight="1" x14ac:dyDescent="0.25">
      <c r="A33" s="7"/>
      <c r="B33" s="50" t="s">
        <v>22</v>
      </c>
      <c r="C33" s="51">
        <f t="shared" si="10"/>
        <v>0.16129032258064516</v>
      </c>
      <c r="D33" s="52">
        <f t="shared" si="11"/>
        <v>4</v>
      </c>
      <c r="E33" s="212" t="s">
        <v>312</v>
      </c>
      <c r="F33" s="52">
        <f t="shared" si="12"/>
        <v>3</v>
      </c>
      <c r="G33" s="213" t="s">
        <v>137</v>
      </c>
      <c r="H33" s="32"/>
      <c r="M33" s="50" t="s">
        <v>22</v>
      </c>
      <c r="N33" s="51">
        <f t="shared" si="13"/>
        <v>0.16129032258064516</v>
      </c>
      <c r="O33" s="52">
        <v>4</v>
      </c>
      <c r="P33" s="121">
        <v>3</v>
      </c>
      <c r="Q33" s="32"/>
      <c r="T33" s="19" t="s">
        <v>22</v>
      </c>
      <c r="U33" s="98">
        <v>2</v>
      </c>
      <c r="V33" s="98">
        <v>2</v>
      </c>
      <c r="W33" s="98">
        <v>2</v>
      </c>
      <c r="X33" s="98">
        <v>2</v>
      </c>
      <c r="Y33" s="98">
        <v>1</v>
      </c>
      <c r="Z33" s="98">
        <v>2</v>
      </c>
      <c r="AA33" s="98">
        <v>1</v>
      </c>
      <c r="AB33" s="27"/>
      <c r="AC33" s="194">
        <v>1</v>
      </c>
      <c r="AD33" s="99">
        <v>2</v>
      </c>
      <c r="AE33" s="17">
        <f t="shared" si="14"/>
        <v>15</v>
      </c>
      <c r="AF33" s="28">
        <f t="shared" si="15"/>
        <v>0.16129032258064516</v>
      </c>
      <c r="AG33" s="7"/>
    </row>
    <row r="34" spans="1:37" ht="30.6" customHeight="1" x14ac:dyDescent="0.25">
      <c r="A34" s="7"/>
      <c r="B34" s="50" t="s">
        <v>238</v>
      </c>
      <c r="C34" s="51">
        <f>N34</f>
        <v>0.16129032258064516</v>
      </c>
      <c r="D34" s="52">
        <f t="shared" si="11"/>
        <v>4</v>
      </c>
      <c r="E34" s="54" t="s">
        <v>314</v>
      </c>
      <c r="F34" s="52">
        <f t="shared" si="12"/>
        <v>4</v>
      </c>
      <c r="G34" s="120" t="s">
        <v>314</v>
      </c>
      <c r="H34" s="32"/>
      <c r="M34" s="50" t="str">
        <f>T34</f>
        <v>Construction Duration</v>
      </c>
      <c r="N34" s="51">
        <f t="shared" si="13"/>
        <v>0.16129032258064516</v>
      </c>
      <c r="O34" s="52">
        <v>4</v>
      </c>
      <c r="P34" s="121">
        <v>4</v>
      </c>
      <c r="Q34" s="32"/>
      <c r="T34" s="186" t="s">
        <v>238</v>
      </c>
      <c r="U34" s="187">
        <v>2</v>
      </c>
      <c r="V34" s="187">
        <v>2</v>
      </c>
      <c r="W34" s="187">
        <v>2</v>
      </c>
      <c r="X34" s="187">
        <v>2</v>
      </c>
      <c r="Y34" s="187">
        <v>1</v>
      </c>
      <c r="Z34" s="187">
        <v>2</v>
      </c>
      <c r="AA34" s="187">
        <v>1</v>
      </c>
      <c r="AB34" s="193">
        <v>1</v>
      </c>
      <c r="AC34" s="191"/>
      <c r="AD34" s="188">
        <v>2</v>
      </c>
      <c r="AE34" s="17">
        <f t="shared" si="14"/>
        <v>15</v>
      </c>
      <c r="AF34" s="28">
        <f t="shared" si="15"/>
        <v>0.16129032258064516</v>
      </c>
      <c r="AG34" s="7"/>
    </row>
    <row r="35" spans="1:37" ht="23.4" customHeight="1" thickBot="1" x14ac:dyDescent="0.3">
      <c r="A35" s="7"/>
      <c r="B35" s="57" t="s">
        <v>23</v>
      </c>
      <c r="C35" s="58">
        <f t="shared" si="10"/>
        <v>8.6021505376344093E-2</v>
      </c>
      <c r="D35" s="52">
        <f t="shared" si="11"/>
        <v>2</v>
      </c>
      <c r="E35" s="212" t="s">
        <v>327</v>
      </c>
      <c r="F35" s="52">
        <f t="shared" si="12"/>
        <v>2</v>
      </c>
      <c r="G35" s="214" t="s">
        <v>327</v>
      </c>
      <c r="H35" s="32"/>
      <c r="M35" s="50" t="s">
        <v>23</v>
      </c>
      <c r="N35" s="51">
        <f t="shared" si="13"/>
        <v>8.6021505376344093E-2</v>
      </c>
      <c r="O35" s="122">
        <v>2</v>
      </c>
      <c r="P35" s="123">
        <v>2</v>
      </c>
      <c r="Q35" s="32"/>
      <c r="T35" s="104" t="s">
        <v>23</v>
      </c>
      <c r="U35" s="100">
        <v>1</v>
      </c>
      <c r="V35" s="100">
        <v>1</v>
      </c>
      <c r="W35" s="100">
        <v>1</v>
      </c>
      <c r="X35" s="100">
        <v>1</v>
      </c>
      <c r="Y35" s="100">
        <v>1</v>
      </c>
      <c r="Z35" s="100">
        <v>1</v>
      </c>
      <c r="AA35" s="100">
        <v>1</v>
      </c>
      <c r="AB35" s="100">
        <v>0</v>
      </c>
      <c r="AC35" s="192">
        <v>1</v>
      </c>
      <c r="AD35" s="101"/>
      <c r="AE35" s="105">
        <f t="shared" si="14"/>
        <v>8</v>
      </c>
      <c r="AF35" s="106">
        <f t="shared" si="15"/>
        <v>8.6021505376344093E-2</v>
      </c>
      <c r="AG35" s="7"/>
    </row>
    <row r="36" spans="1:37" ht="24.9" customHeight="1" thickBot="1" x14ac:dyDescent="0.3">
      <c r="B36" s="115" t="s">
        <v>24</v>
      </c>
      <c r="C36" s="116">
        <f>SUM(C26:C35)</f>
        <v>1</v>
      </c>
      <c r="D36" s="59"/>
      <c r="E36" s="117">
        <f>SUMPRODUCT($C$5:$C$14,D26:D35)</f>
        <v>3.333333333333333</v>
      </c>
      <c r="F36" s="118"/>
      <c r="G36" s="119">
        <f>SUMPRODUCT($C$5:$C$14,F26:F35)</f>
        <v>3.118279569892473</v>
      </c>
      <c r="H36" s="32"/>
      <c r="M36" s="132" t="s">
        <v>24</v>
      </c>
      <c r="N36" s="133">
        <f>SUM(N26:N35)</f>
        <v>1</v>
      </c>
      <c r="O36" s="134">
        <f t="shared" ref="O36:P36" si="16">SUMPRODUCT($N$5:$N$14,O26:O35)</f>
        <v>3.333333333333333</v>
      </c>
      <c r="P36" s="135">
        <f t="shared" si="16"/>
        <v>3.118279569892473</v>
      </c>
      <c r="Q36" s="32"/>
      <c r="T36" s="35"/>
      <c r="U36" s="35"/>
      <c r="V36" s="35"/>
      <c r="W36" s="35"/>
      <c r="X36" s="35"/>
      <c r="Y36" s="35"/>
      <c r="Z36" s="35"/>
      <c r="AA36" s="35"/>
      <c r="AB36" s="35"/>
      <c r="AC36" s="35"/>
      <c r="AD36" s="35"/>
      <c r="AE36" s="102">
        <f>SUM(AE26:AE35)</f>
        <v>93</v>
      </c>
      <c r="AF36" s="103">
        <f>SUM(AF26:AF35)</f>
        <v>1</v>
      </c>
    </row>
    <row r="37" spans="1:37" ht="16.2" thickBot="1" x14ac:dyDescent="0.3">
      <c r="B37" s="7"/>
      <c r="C37" s="29" t="b">
        <f>C36=N36</f>
        <v>1</v>
      </c>
      <c r="D37" s="7" t="b">
        <f>SUM(D26:D35)=SUM(O26:O35)</f>
        <v>1</v>
      </c>
      <c r="E37" s="29" t="b">
        <f>E36=O36</f>
        <v>1</v>
      </c>
      <c r="F37" s="7" t="b">
        <f>SUM(F26:F35)=SUM(P26:P35)</f>
        <v>1</v>
      </c>
      <c r="G37" s="29" t="b">
        <f>G36=P36</f>
        <v>1</v>
      </c>
      <c r="H37" s="32"/>
      <c r="M37" s="136" t="s">
        <v>55</v>
      </c>
      <c r="N37" s="137"/>
      <c r="O37" s="138">
        <f>RANK(O36,$O$36:$P$36,1)</f>
        <v>2</v>
      </c>
      <c r="P37" s="139">
        <f>RANK(P36,$O$36:$P$36,1)</f>
        <v>1</v>
      </c>
      <c r="Q37" s="33"/>
      <c r="T37" s="7"/>
      <c r="U37" s="7"/>
      <c r="V37" s="7"/>
      <c r="W37" s="7"/>
      <c r="X37" s="7"/>
      <c r="Y37" s="7"/>
      <c r="Z37" s="7"/>
      <c r="AA37" s="7"/>
      <c r="AB37" s="7"/>
      <c r="AC37" s="7"/>
      <c r="AD37" s="7"/>
      <c r="AE37" s="7"/>
      <c r="AF37" s="10"/>
      <c r="AG37" s="10"/>
    </row>
    <row r="38" spans="1:37" ht="22.5" customHeight="1" x14ac:dyDescent="0.25">
      <c r="M38" s="7"/>
      <c r="N38" s="7"/>
      <c r="O38" s="7"/>
      <c r="P38" s="7"/>
      <c r="Q38" s="7"/>
      <c r="T38" s="7"/>
      <c r="U38" s="7"/>
      <c r="V38" s="33"/>
      <c r="W38" s="30"/>
      <c r="X38" s="31"/>
      <c r="Y38" s="36"/>
      <c r="Z38" s="36"/>
      <c r="AA38" s="36"/>
      <c r="AB38" s="36"/>
      <c r="AC38" s="36"/>
      <c r="AD38" s="36"/>
      <c r="AE38" s="36"/>
      <c r="AF38" s="36"/>
      <c r="AG38" s="36"/>
      <c r="AH38" s="33"/>
      <c r="AI38" s="7"/>
      <c r="AJ38" s="7"/>
      <c r="AK38" s="7"/>
    </row>
    <row r="39" spans="1:37" x14ac:dyDescent="0.25">
      <c r="V39" s="33"/>
      <c r="AH39" s="33"/>
    </row>
    <row r="40" spans="1:37" x14ac:dyDescent="0.25">
      <c r="V40" s="33"/>
      <c r="AH40" s="33"/>
    </row>
    <row r="41" spans="1:37" x14ac:dyDescent="0.25">
      <c r="U41" s="33"/>
    </row>
  </sheetData>
  <mergeCells count="42">
    <mergeCell ref="O24:P24"/>
    <mergeCell ref="M24:M25"/>
    <mergeCell ref="N24:N25"/>
    <mergeCell ref="T24:T25"/>
    <mergeCell ref="AF3:AF4"/>
    <mergeCell ref="Z3:Z4"/>
    <mergeCell ref="AA3:AA4"/>
    <mergeCell ref="AB3:AB4"/>
    <mergeCell ref="AD3:AD4"/>
    <mergeCell ref="AE3:AE4"/>
    <mergeCell ref="M3:M4"/>
    <mergeCell ref="N3:N4"/>
    <mergeCell ref="AF24:AF25"/>
    <mergeCell ref="AE24:AE25"/>
    <mergeCell ref="AD24:AD25"/>
    <mergeCell ref="D3:E3"/>
    <mergeCell ref="Y3:Y4"/>
    <mergeCell ref="O3:R3"/>
    <mergeCell ref="T3:T4"/>
    <mergeCell ref="U3:U4"/>
    <mergeCell ref="V3:V4"/>
    <mergeCell ref="W3:W4"/>
    <mergeCell ref="X3:X4"/>
    <mergeCell ref="F3:G3"/>
    <mergeCell ref="H3:I3"/>
    <mergeCell ref="J3:K3"/>
    <mergeCell ref="B24:B25"/>
    <mergeCell ref="C24:C25"/>
    <mergeCell ref="D24:E24"/>
    <mergeCell ref="F24:G24"/>
    <mergeCell ref="AC3:AC4"/>
    <mergeCell ref="AC24:AC25"/>
    <mergeCell ref="AB24:AB25"/>
    <mergeCell ref="AA24:AA25"/>
    <mergeCell ref="Z24:Z25"/>
    <mergeCell ref="Y24:Y25"/>
    <mergeCell ref="X24:X25"/>
    <mergeCell ref="W24:W25"/>
    <mergeCell ref="V24:V25"/>
    <mergeCell ref="U24:U25"/>
    <mergeCell ref="B3:B4"/>
    <mergeCell ref="C3:C4"/>
  </mergeCells>
  <conditionalFormatting sqref="D5:F5 H5:H6 J5:J6 D6 F6 D9:F9 D10 F10 O5:R7 J9:J13 H9:H13 D11:F11 O18:R18 O9:R14 D12:D13 F12:F13">
    <cfRule type="colorScale" priority="278">
      <colorScale>
        <cfvo type="num" val="1"/>
        <cfvo type="num" val="2.5"/>
        <cfvo type="num" val="5"/>
        <color rgb="FFFF0000"/>
        <color rgb="FFFFEB84"/>
        <color rgb="FF00B050"/>
      </colorScale>
    </cfRule>
  </conditionalFormatting>
  <conditionalFormatting sqref="O15">
    <cfRule type="colorScale" priority="272">
      <colorScale>
        <cfvo type="num" val="1"/>
        <cfvo type="num" val="2.5"/>
        <cfvo type="num" val="5"/>
        <color rgb="FFFF0000"/>
        <color rgb="FFFFEB84"/>
        <color rgb="FF00B050"/>
      </colorScale>
    </cfRule>
  </conditionalFormatting>
  <conditionalFormatting sqref="P15">
    <cfRule type="colorScale" priority="271">
      <colorScale>
        <cfvo type="num" val="1"/>
        <cfvo type="num" val="2.5"/>
        <cfvo type="num" val="5"/>
        <color rgb="FFFF0000"/>
        <color rgb="FFFFEB84"/>
        <color rgb="FF00B050"/>
      </colorScale>
    </cfRule>
  </conditionalFormatting>
  <conditionalFormatting sqref="Q15">
    <cfRule type="colorScale" priority="270">
      <colorScale>
        <cfvo type="num" val="1"/>
        <cfvo type="num" val="2.5"/>
        <cfvo type="num" val="5"/>
        <color rgb="FFFF0000"/>
        <color rgb="FFFFEB84"/>
        <color rgb="FF00B050"/>
      </colorScale>
    </cfRule>
  </conditionalFormatting>
  <conditionalFormatting sqref="R15">
    <cfRule type="colorScale" priority="269">
      <colorScale>
        <cfvo type="num" val="1"/>
        <cfvo type="num" val="2.5"/>
        <cfvo type="num" val="5"/>
        <color rgb="FFFF0000"/>
        <color rgb="FFFFEB84"/>
        <color rgb="FF00B050"/>
      </colorScale>
    </cfRule>
  </conditionalFormatting>
  <conditionalFormatting sqref="H7 J7 F7 D7:D8">
    <cfRule type="colorScale" priority="267">
      <colorScale>
        <cfvo type="num" val="1"/>
        <cfvo type="num" val="2.5"/>
        <cfvo type="num" val="5"/>
        <color rgb="FFFF0000"/>
        <color rgb="FFFFEB84"/>
        <color rgb="FF00B050"/>
      </colorScale>
    </cfRule>
  </conditionalFormatting>
  <conditionalFormatting sqref="E6">
    <cfRule type="colorScale" priority="265">
      <colorScale>
        <cfvo type="num" val="1"/>
        <cfvo type="num" val="2.5"/>
        <cfvo type="num" val="5"/>
        <color rgb="FFFF0000"/>
        <color rgb="FFFFEB84"/>
        <color rgb="FF00B050"/>
      </colorScale>
    </cfRule>
  </conditionalFormatting>
  <conditionalFormatting sqref="H14 J14 D14 F14">
    <cfRule type="colorScale" priority="259">
      <colorScale>
        <cfvo type="num" val="1"/>
        <cfvo type="num" val="2.5"/>
        <cfvo type="num" val="5"/>
        <color rgb="FFFF0000"/>
        <color rgb="FFFFEB84"/>
        <color rgb="FF00B050"/>
      </colorScale>
    </cfRule>
  </conditionalFormatting>
  <conditionalFormatting sqref="O8:R8">
    <cfRule type="colorScale" priority="235">
      <colorScale>
        <cfvo type="num" val="1"/>
        <cfvo type="num" val="2.5"/>
        <cfvo type="num" val="5"/>
        <color rgb="FFFF0000"/>
        <color rgb="FFFFEB84"/>
        <color rgb="FF00B050"/>
      </colorScale>
    </cfRule>
  </conditionalFormatting>
  <conditionalFormatting sqref="F8">
    <cfRule type="colorScale" priority="231">
      <colorScale>
        <cfvo type="num" val="1"/>
        <cfvo type="num" val="2.5"/>
        <cfvo type="num" val="5"/>
        <color rgb="FFFF0000"/>
        <color rgb="FFFFEB84"/>
        <color rgb="FF00B050"/>
      </colorScale>
    </cfRule>
  </conditionalFormatting>
  <conditionalFormatting sqref="H8">
    <cfRule type="colorScale" priority="230">
      <colorScale>
        <cfvo type="num" val="1"/>
        <cfvo type="num" val="2.5"/>
        <cfvo type="num" val="5"/>
        <color rgb="FFFF0000"/>
        <color rgb="FFFFEB84"/>
        <color rgb="FF00B050"/>
      </colorScale>
    </cfRule>
  </conditionalFormatting>
  <conditionalFormatting sqref="J8">
    <cfRule type="colorScale" priority="228">
      <colorScale>
        <cfvo type="num" val="1"/>
        <cfvo type="num" val="2.5"/>
        <cfvo type="num" val="5"/>
        <color rgb="FFFF0000"/>
        <color rgb="FFFFEB84"/>
        <color rgb="FF00B050"/>
      </colorScale>
    </cfRule>
  </conditionalFormatting>
  <conditionalFormatting sqref="O5:R14">
    <cfRule type="cellIs" dxfId="52" priority="219" operator="equal">
      <formula>1</formula>
    </cfRule>
    <cfRule type="cellIs" dxfId="51" priority="220" operator="equal">
      <formula>2</formula>
    </cfRule>
    <cfRule type="cellIs" dxfId="50" priority="221" operator="equal">
      <formula>3</formula>
    </cfRule>
    <cfRule type="cellIs" dxfId="49" priority="222" operator="equal">
      <formula>5</formula>
    </cfRule>
    <cfRule type="cellIs" dxfId="48" priority="223" operator="equal">
      <formula>4</formula>
    </cfRule>
  </conditionalFormatting>
  <conditionalFormatting sqref="G5">
    <cfRule type="colorScale" priority="218">
      <colorScale>
        <cfvo type="num" val="1"/>
        <cfvo type="num" val="2.5"/>
        <cfvo type="num" val="5"/>
        <color rgb="FFFF0000"/>
        <color rgb="FFFFEB84"/>
        <color rgb="FF00B050"/>
      </colorScale>
    </cfRule>
  </conditionalFormatting>
  <conditionalFormatting sqref="I5">
    <cfRule type="colorScale" priority="217">
      <colorScale>
        <cfvo type="num" val="1"/>
        <cfvo type="num" val="2.5"/>
        <cfvo type="num" val="5"/>
        <color rgb="FFFF0000"/>
        <color rgb="FFFFEB84"/>
        <color rgb="FF00B050"/>
      </colorScale>
    </cfRule>
  </conditionalFormatting>
  <conditionalFormatting sqref="D5:D14 F5:F14 H5:H14 J5:J14">
    <cfRule type="cellIs" dxfId="47" priority="212" operator="equal">
      <formula>1</formula>
    </cfRule>
    <cfRule type="cellIs" dxfId="46" priority="213" operator="equal">
      <formula>2</formula>
    </cfRule>
    <cfRule type="cellIs" dxfId="45" priority="214" operator="equal">
      <formula>3</formula>
    </cfRule>
    <cfRule type="cellIs" dxfId="44" priority="215" operator="equal">
      <formula>4</formula>
    </cfRule>
    <cfRule type="cellIs" dxfId="43" priority="216" operator="equal">
      <formula>5</formula>
    </cfRule>
  </conditionalFormatting>
  <conditionalFormatting sqref="K5">
    <cfRule type="colorScale" priority="211">
      <colorScale>
        <cfvo type="num" val="1"/>
        <cfvo type="num" val="2.5"/>
        <cfvo type="num" val="5"/>
        <color rgb="FFFF0000"/>
        <color rgb="FFFFEB84"/>
        <color rgb="FF00B050"/>
      </colorScale>
    </cfRule>
  </conditionalFormatting>
  <conditionalFormatting sqref="K6">
    <cfRule type="colorScale" priority="204">
      <colorScale>
        <cfvo type="num" val="1"/>
        <cfvo type="num" val="2.5"/>
        <cfvo type="num" val="5"/>
        <color rgb="FFFF0000"/>
        <color rgb="FFFFEB84"/>
        <color rgb="FF00B050"/>
      </colorScale>
    </cfRule>
  </conditionalFormatting>
  <conditionalFormatting sqref="G6">
    <cfRule type="colorScale" priority="201">
      <colorScale>
        <cfvo type="num" val="1"/>
        <cfvo type="num" val="2.5"/>
        <cfvo type="num" val="5"/>
        <color rgb="FFFF0000"/>
        <color rgb="FFFFEB84"/>
        <color rgb="FF00B050"/>
      </colorScale>
    </cfRule>
  </conditionalFormatting>
  <conditionalFormatting sqref="I7">
    <cfRule type="colorScale" priority="197">
      <colorScale>
        <cfvo type="num" val="1"/>
        <cfvo type="num" val="2.5"/>
        <cfvo type="num" val="5"/>
        <color rgb="FFFF0000"/>
        <color rgb="FFFFEB84"/>
        <color rgb="FF00B050"/>
      </colorScale>
    </cfRule>
  </conditionalFormatting>
  <conditionalFormatting sqref="E7">
    <cfRule type="colorScale" priority="196">
      <colorScale>
        <cfvo type="num" val="1"/>
        <cfvo type="num" val="2.5"/>
        <cfvo type="num" val="5"/>
        <color rgb="FFFF0000"/>
        <color rgb="FFFFEB84"/>
        <color rgb="FF00B050"/>
      </colorScale>
    </cfRule>
  </conditionalFormatting>
  <conditionalFormatting sqref="E8">
    <cfRule type="colorScale" priority="194">
      <colorScale>
        <cfvo type="num" val="1"/>
        <cfvo type="num" val="2.5"/>
        <cfvo type="num" val="5"/>
        <color rgb="FFFF0000"/>
        <color rgb="FFFFEB84"/>
        <color rgb="FF00B050"/>
      </colorScale>
    </cfRule>
  </conditionalFormatting>
  <conditionalFormatting sqref="E10">
    <cfRule type="colorScale" priority="186">
      <colorScale>
        <cfvo type="num" val="1"/>
        <cfvo type="num" val="2.5"/>
        <cfvo type="num" val="5"/>
        <color rgb="FFFF0000"/>
        <color rgb="FFFFEB84"/>
        <color rgb="FF00B050"/>
      </colorScale>
    </cfRule>
  </conditionalFormatting>
  <conditionalFormatting sqref="E14">
    <cfRule type="colorScale" priority="179">
      <colorScale>
        <cfvo type="num" val="1"/>
        <cfvo type="num" val="2.5"/>
        <cfvo type="num" val="5"/>
        <color rgb="FFFF0000"/>
        <color rgb="FFFFEB84"/>
        <color rgb="FF00B050"/>
      </colorScale>
    </cfRule>
  </conditionalFormatting>
  <conditionalFormatting sqref="I10">
    <cfRule type="colorScale" priority="155">
      <colorScale>
        <cfvo type="num" val="1"/>
        <cfvo type="num" val="2.5"/>
        <cfvo type="num" val="5"/>
        <color rgb="FFFF0000"/>
        <color rgb="FFFFEB84"/>
        <color rgb="FF00B050"/>
      </colorScale>
    </cfRule>
  </conditionalFormatting>
  <conditionalFormatting sqref="D26:F26 D27 F27 D31 F31 O26:P28 O30:P35 D33:D34 F33:F34 D30:G30 D32:G32">
    <cfRule type="colorScale" priority="154">
      <colorScale>
        <cfvo type="num" val="1"/>
        <cfvo type="num" val="2.5"/>
        <cfvo type="num" val="5"/>
        <color rgb="FFFF0000"/>
        <color rgb="FFFFEB84"/>
        <color rgb="FF00B050"/>
      </colorScale>
    </cfRule>
  </conditionalFormatting>
  <conditionalFormatting sqref="O36">
    <cfRule type="colorScale" priority="153">
      <colorScale>
        <cfvo type="num" val="1"/>
        <cfvo type="num" val="2.5"/>
        <cfvo type="num" val="5"/>
        <color rgb="FFFF0000"/>
        <color rgb="FFFFEB84"/>
        <color rgb="FF00B050"/>
      </colorScale>
    </cfRule>
  </conditionalFormatting>
  <conditionalFormatting sqref="P36">
    <cfRule type="colorScale" priority="152">
      <colorScale>
        <cfvo type="num" val="1"/>
        <cfvo type="num" val="2.5"/>
        <cfvo type="num" val="5"/>
        <color rgb="FFFF0000"/>
        <color rgb="FFFFEB84"/>
        <color rgb="FF00B050"/>
      </colorScale>
    </cfRule>
  </conditionalFormatting>
  <conditionalFormatting sqref="D28:D29 F28">
    <cfRule type="colorScale" priority="148">
      <colorScale>
        <cfvo type="num" val="1"/>
        <cfvo type="num" val="2.5"/>
        <cfvo type="num" val="5"/>
        <color rgb="FFFF0000"/>
        <color rgb="FFFFEB84"/>
        <color rgb="FF00B050"/>
      </colorScale>
    </cfRule>
  </conditionalFormatting>
  <conditionalFormatting sqref="E27">
    <cfRule type="colorScale" priority="146">
      <colorScale>
        <cfvo type="num" val="1"/>
        <cfvo type="num" val="2.5"/>
        <cfvo type="num" val="5"/>
        <color rgb="FFFF0000"/>
        <color rgb="FFFFEB84"/>
        <color rgb="FF00B050"/>
      </colorScale>
    </cfRule>
  </conditionalFormatting>
  <conditionalFormatting sqref="D35 F35">
    <cfRule type="colorScale" priority="140">
      <colorScale>
        <cfvo type="num" val="1"/>
        <cfvo type="num" val="2.5"/>
        <cfvo type="num" val="5"/>
        <color rgb="FFFF0000"/>
        <color rgb="FFFFEB84"/>
        <color rgb="FF00B050"/>
      </colorScale>
    </cfRule>
  </conditionalFormatting>
  <conditionalFormatting sqref="O29:P29">
    <cfRule type="colorScale" priority="116">
      <colorScale>
        <cfvo type="num" val="1"/>
        <cfvo type="num" val="2.5"/>
        <cfvo type="num" val="5"/>
        <color rgb="FFFF0000"/>
        <color rgb="FFFFEB84"/>
        <color rgb="FF00B050"/>
      </colorScale>
    </cfRule>
  </conditionalFormatting>
  <conditionalFormatting sqref="F29">
    <cfRule type="colorScale" priority="112">
      <colorScale>
        <cfvo type="num" val="1"/>
        <cfvo type="num" val="2.5"/>
        <cfvo type="num" val="5"/>
        <color rgb="FFFF0000"/>
        <color rgb="FFFFEB84"/>
        <color rgb="FF00B050"/>
      </colorScale>
    </cfRule>
  </conditionalFormatting>
  <conditionalFormatting sqref="O26:P35">
    <cfRule type="cellIs" dxfId="42" priority="100" operator="equal">
      <formula>1</formula>
    </cfRule>
    <cfRule type="cellIs" dxfId="41" priority="101" operator="equal">
      <formula>2</formula>
    </cfRule>
    <cfRule type="cellIs" dxfId="40" priority="102" operator="equal">
      <formula>3</formula>
    </cfRule>
    <cfRule type="cellIs" dxfId="39" priority="103" operator="equal">
      <formula>5</formula>
    </cfRule>
    <cfRule type="cellIs" dxfId="38" priority="104" operator="equal">
      <formula>4</formula>
    </cfRule>
  </conditionalFormatting>
  <conditionalFormatting sqref="G26">
    <cfRule type="colorScale" priority="99">
      <colorScale>
        <cfvo type="num" val="1"/>
        <cfvo type="num" val="2.5"/>
        <cfvo type="num" val="5"/>
        <color rgb="FFFF0000"/>
        <color rgb="FFFFEB84"/>
        <color rgb="FF00B050"/>
      </colorScale>
    </cfRule>
  </conditionalFormatting>
  <conditionalFormatting sqref="D26:D35 F26:F35">
    <cfRule type="cellIs" dxfId="37" priority="93" operator="equal">
      <formula>1</formula>
    </cfRule>
    <cfRule type="cellIs" dxfId="36" priority="94" operator="equal">
      <formula>2</formula>
    </cfRule>
    <cfRule type="cellIs" dxfId="35" priority="95" operator="equal">
      <formula>3</formula>
    </cfRule>
    <cfRule type="cellIs" dxfId="34" priority="96" operator="equal">
      <formula>4</formula>
    </cfRule>
    <cfRule type="cellIs" dxfId="33" priority="97" operator="equal">
      <formula>5</formula>
    </cfRule>
  </conditionalFormatting>
  <conditionalFormatting sqref="G27">
    <cfRule type="colorScale" priority="82">
      <colorScale>
        <cfvo type="num" val="1"/>
        <cfvo type="num" val="2.5"/>
        <cfvo type="num" val="5"/>
        <color rgb="FFFF0000"/>
        <color rgb="FFFFEB84"/>
        <color rgb="FF00B050"/>
      </colorScale>
    </cfRule>
  </conditionalFormatting>
  <conditionalFormatting sqref="I6">
    <cfRule type="colorScale" priority="34">
      <colorScale>
        <cfvo type="num" val="1"/>
        <cfvo type="num" val="2.5"/>
        <cfvo type="num" val="5"/>
        <color rgb="FFFF0000"/>
        <color rgb="FFFFEB84"/>
        <color rgb="FF00B050"/>
      </colorScale>
    </cfRule>
  </conditionalFormatting>
  <conditionalFormatting sqref="G7">
    <cfRule type="colorScale" priority="33">
      <colorScale>
        <cfvo type="num" val="1"/>
        <cfvo type="num" val="2.5"/>
        <cfvo type="num" val="5"/>
        <color rgb="FFFF0000"/>
        <color rgb="FFFFEB84"/>
        <color rgb="FF00B050"/>
      </colorScale>
    </cfRule>
  </conditionalFormatting>
  <conditionalFormatting sqref="K7">
    <cfRule type="colorScale" priority="32">
      <colorScale>
        <cfvo type="num" val="1"/>
        <cfvo type="num" val="2.5"/>
        <cfvo type="num" val="5"/>
        <color rgb="FFFF0000"/>
        <color rgb="FFFFEB84"/>
        <color rgb="FF00B050"/>
      </colorScale>
    </cfRule>
  </conditionalFormatting>
  <conditionalFormatting sqref="G8">
    <cfRule type="colorScale" priority="31">
      <colorScale>
        <cfvo type="num" val="1"/>
        <cfvo type="num" val="2.5"/>
        <cfvo type="num" val="5"/>
        <color rgb="FFFF0000"/>
        <color rgb="FFFFEB84"/>
        <color rgb="FF00B050"/>
      </colorScale>
    </cfRule>
  </conditionalFormatting>
  <conditionalFormatting sqref="I8">
    <cfRule type="colorScale" priority="30">
      <colorScale>
        <cfvo type="num" val="1"/>
        <cfvo type="num" val="2.5"/>
        <cfvo type="num" val="5"/>
        <color rgb="FFFF0000"/>
        <color rgb="FFFFEB84"/>
        <color rgb="FF00B050"/>
      </colorScale>
    </cfRule>
  </conditionalFormatting>
  <conditionalFormatting sqref="K8">
    <cfRule type="colorScale" priority="29">
      <colorScale>
        <cfvo type="num" val="1"/>
        <cfvo type="num" val="2.5"/>
        <cfvo type="num" val="5"/>
        <color rgb="FFFF0000"/>
        <color rgb="FFFFEB84"/>
        <color rgb="FF00B050"/>
      </colorScale>
    </cfRule>
  </conditionalFormatting>
  <conditionalFormatting sqref="G9">
    <cfRule type="colorScale" priority="28">
      <colorScale>
        <cfvo type="num" val="1"/>
        <cfvo type="num" val="2.5"/>
        <cfvo type="num" val="5"/>
        <color rgb="FFFF0000"/>
        <color rgb="FFFFEB84"/>
        <color rgb="FF00B050"/>
      </colorScale>
    </cfRule>
  </conditionalFormatting>
  <conditionalFormatting sqref="I9">
    <cfRule type="colorScale" priority="23">
      <colorScale>
        <cfvo type="num" val="1"/>
        <cfvo type="num" val="2.5"/>
        <cfvo type="num" val="5"/>
        <color rgb="FFFF0000"/>
        <color rgb="FFFFEB84"/>
        <color rgb="FF00B050"/>
      </colorScale>
    </cfRule>
  </conditionalFormatting>
  <conditionalFormatting sqref="K9">
    <cfRule type="colorScale" priority="22">
      <colorScale>
        <cfvo type="num" val="1"/>
        <cfvo type="num" val="2.5"/>
        <cfvo type="num" val="5"/>
        <color rgb="FFFF0000"/>
        <color rgb="FFFFEB84"/>
        <color rgb="FF00B050"/>
      </colorScale>
    </cfRule>
  </conditionalFormatting>
  <conditionalFormatting sqref="G10">
    <cfRule type="colorScale" priority="21">
      <colorScale>
        <cfvo type="num" val="1"/>
        <cfvo type="num" val="2.5"/>
        <cfvo type="num" val="5"/>
        <color rgb="FFFF0000"/>
        <color rgb="FFFFEB84"/>
        <color rgb="FF00B050"/>
      </colorScale>
    </cfRule>
  </conditionalFormatting>
  <conditionalFormatting sqref="K10">
    <cfRule type="colorScale" priority="20">
      <colorScale>
        <cfvo type="num" val="1"/>
        <cfvo type="num" val="2.5"/>
        <cfvo type="num" val="5"/>
        <color rgb="FFFF0000"/>
        <color rgb="FFFFEB84"/>
        <color rgb="FF00B050"/>
      </colorScale>
    </cfRule>
  </conditionalFormatting>
  <conditionalFormatting sqref="G11">
    <cfRule type="colorScale" priority="19">
      <colorScale>
        <cfvo type="num" val="1"/>
        <cfvo type="num" val="2.5"/>
        <cfvo type="num" val="5"/>
        <color rgb="FFFF0000"/>
        <color rgb="FFFFEB84"/>
        <color rgb="FF00B050"/>
      </colorScale>
    </cfRule>
  </conditionalFormatting>
  <conditionalFormatting sqref="I11">
    <cfRule type="colorScale" priority="18">
      <colorScale>
        <cfvo type="num" val="1"/>
        <cfvo type="num" val="2.5"/>
        <cfvo type="num" val="5"/>
        <color rgb="FFFF0000"/>
        <color rgb="FFFFEB84"/>
        <color rgb="FF00B050"/>
      </colorScale>
    </cfRule>
  </conditionalFormatting>
  <conditionalFormatting sqref="K11">
    <cfRule type="colorScale" priority="17">
      <colorScale>
        <cfvo type="num" val="1"/>
        <cfvo type="num" val="2.5"/>
        <cfvo type="num" val="5"/>
        <color rgb="FFFF0000"/>
        <color rgb="FFFFEB84"/>
        <color rgb="FF00B050"/>
      </colorScale>
    </cfRule>
  </conditionalFormatting>
  <conditionalFormatting sqref="G12">
    <cfRule type="colorScale" priority="16">
      <colorScale>
        <cfvo type="num" val="1"/>
        <cfvo type="num" val="2.5"/>
        <cfvo type="num" val="5"/>
        <color rgb="FFFF0000"/>
        <color rgb="FFFFEB84"/>
        <color rgb="FF00B050"/>
      </colorScale>
    </cfRule>
  </conditionalFormatting>
  <conditionalFormatting sqref="I12">
    <cfRule type="colorScale" priority="15">
      <colorScale>
        <cfvo type="num" val="1"/>
        <cfvo type="num" val="2.5"/>
        <cfvo type="num" val="5"/>
        <color rgb="FFFF0000"/>
        <color rgb="FFFFEB84"/>
        <color rgb="FF00B050"/>
      </colorScale>
    </cfRule>
  </conditionalFormatting>
  <conditionalFormatting sqref="K12">
    <cfRule type="colorScale" priority="14">
      <colorScale>
        <cfvo type="num" val="1"/>
        <cfvo type="num" val="2.5"/>
        <cfvo type="num" val="5"/>
        <color rgb="FFFF0000"/>
        <color rgb="FFFFEB84"/>
        <color rgb="FF00B050"/>
      </colorScale>
    </cfRule>
  </conditionalFormatting>
  <conditionalFormatting sqref="G14">
    <cfRule type="colorScale" priority="13">
      <colorScale>
        <cfvo type="num" val="1"/>
        <cfvo type="num" val="2.5"/>
        <cfvo type="num" val="5"/>
        <color rgb="FFFF0000"/>
        <color rgb="FFFFEB84"/>
        <color rgb="FF00B050"/>
      </colorScale>
    </cfRule>
  </conditionalFormatting>
  <conditionalFormatting sqref="I14">
    <cfRule type="colorScale" priority="12">
      <colorScale>
        <cfvo type="num" val="1"/>
        <cfvo type="num" val="2.5"/>
        <cfvo type="num" val="5"/>
        <color rgb="FFFF0000"/>
        <color rgb="FFFFEB84"/>
        <color rgb="FF00B050"/>
      </colorScale>
    </cfRule>
  </conditionalFormatting>
  <conditionalFormatting sqref="K14">
    <cfRule type="colorScale" priority="11">
      <colorScale>
        <cfvo type="num" val="1"/>
        <cfvo type="num" val="2.5"/>
        <cfvo type="num" val="5"/>
        <color rgb="FFFF0000"/>
        <color rgb="FFFFEB84"/>
        <color rgb="FF00B050"/>
      </colorScale>
    </cfRule>
  </conditionalFormatting>
  <conditionalFormatting sqref="E28">
    <cfRule type="colorScale" priority="10">
      <colorScale>
        <cfvo type="num" val="1"/>
        <cfvo type="num" val="2.5"/>
        <cfvo type="num" val="5"/>
        <color rgb="FFFF0000"/>
        <color rgb="FFFFEB84"/>
        <color rgb="FF00B050"/>
      </colorScale>
    </cfRule>
  </conditionalFormatting>
  <conditionalFormatting sqref="G28">
    <cfRule type="colorScale" priority="9">
      <colorScale>
        <cfvo type="num" val="1"/>
        <cfvo type="num" val="2.5"/>
        <cfvo type="num" val="5"/>
        <color rgb="FFFF0000"/>
        <color rgb="FFFFEB84"/>
        <color rgb="FF00B050"/>
      </colorScale>
    </cfRule>
  </conditionalFormatting>
  <conditionalFormatting sqref="E29">
    <cfRule type="colorScale" priority="8">
      <colorScale>
        <cfvo type="num" val="1"/>
        <cfvo type="num" val="2.5"/>
        <cfvo type="num" val="5"/>
        <color rgb="FFFF0000"/>
        <color rgb="FFFFEB84"/>
        <color rgb="FF00B050"/>
      </colorScale>
    </cfRule>
  </conditionalFormatting>
  <conditionalFormatting sqref="G29">
    <cfRule type="colorScale" priority="7">
      <colorScale>
        <cfvo type="num" val="1"/>
        <cfvo type="num" val="2.5"/>
        <cfvo type="num" val="5"/>
        <color rgb="FFFF0000"/>
        <color rgb="FFFFEB84"/>
        <color rgb="FF00B050"/>
      </colorScale>
    </cfRule>
  </conditionalFormatting>
  <conditionalFormatting sqref="E31">
    <cfRule type="colorScale" priority="6">
      <colorScale>
        <cfvo type="num" val="1"/>
        <cfvo type="num" val="2.5"/>
        <cfvo type="num" val="5"/>
        <color rgb="FFFF0000"/>
        <color rgb="FFFFEB84"/>
        <color rgb="FF00B050"/>
      </colorScale>
    </cfRule>
  </conditionalFormatting>
  <conditionalFormatting sqref="G31">
    <cfRule type="colorScale" priority="5">
      <colorScale>
        <cfvo type="num" val="1"/>
        <cfvo type="num" val="2.5"/>
        <cfvo type="num" val="5"/>
        <color rgb="FFFF0000"/>
        <color rgb="FFFFEB84"/>
        <color rgb="FF00B050"/>
      </colorScale>
    </cfRule>
  </conditionalFormatting>
  <conditionalFormatting sqref="E33">
    <cfRule type="colorScale" priority="4">
      <colorScale>
        <cfvo type="num" val="1"/>
        <cfvo type="num" val="2.5"/>
        <cfvo type="num" val="5"/>
        <color rgb="FFFF0000"/>
        <color rgb="FFFFEB84"/>
        <color rgb="FF00B050"/>
      </colorScale>
    </cfRule>
  </conditionalFormatting>
  <conditionalFormatting sqref="E35">
    <cfRule type="colorScale" priority="3">
      <colorScale>
        <cfvo type="num" val="1"/>
        <cfvo type="num" val="2.5"/>
        <cfvo type="num" val="5"/>
        <color rgb="FFFF0000"/>
        <color rgb="FFFFEB84"/>
        <color rgb="FF00B050"/>
      </colorScale>
    </cfRule>
  </conditionalFormatting>
  <conditionalFormatting sqref="G35">
    <cfRule type="colorScale" priority="1">
      <colorScale>
        <cfvo type="num" val="1"/>
        <cfvo type="num" val="2.5"/>
        <cfvo type="num" val="5"/>
        <color rgb="FFFF0000"/>
        <color rgb="FFFFEB84"/>
        <color rgb="FF00B050"/>
      </colorScale>
    </cfRule>
  </conditionalFormatting>
  <pageMargins left="0.7" right="0.7" top="0.75" bottom="0.75" header="0.3" footer="0.3"/>
  <pageSetup paperSize="9" scale="13" orientation="landscape"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1B283C-DABE-4A99-8E3B-CEFBBEC34FAF}">
  <sheetPr>
    <pageSetUpPr fitToPage="1"/>
  </sheetPr>
  <dimension ref="A1:AR28"/>
  <sheetViews>
    <sheetView topLeftCell="B1" zoomScale="85" zoomScaleNormal="85" workbookViewId="0">
      <selection activeCell="E33" sqref="E33"/>
    </sheetView>
  </sheetViews>
  <sheetFormatPr defaultColWidth="9.109375" defaultRowHeight="13.8" x14ac:dyDescent="0.25"/>
  <cols>
    <col min="1" max="1" width="2.33203125" style="8" customWidth="1"/>
    <col min="2" max="2" width="16.109375" style="8" customWidth="1"/>
    <col min="3" max="3" width="12.33203125" style="8" customWidth="1"/>
    <col min="4" max="4" width="7.109375" style="8" customWidth="1"/>
    <col min="5" max="5" width="60.6640625" style="8" customWidth="1"/>
    <col min="6" max="6" width="7.44140625" style="8" customWidth="1"/>
    <col min="7" max="7" width="60.6640625" style="8" customWidth="1"/>
    <col min="8" max="8" width="9.44140625" style="8" customWidth="1"/>
    <col min="9" max="9" width="60.6640625" style="8" customWidth="1"/>
    <col min="10" max="10" width="7.44140625" style="8" customWidth="1"/>
    <col min="11" max="11" width="60.6640625" style="8" customWidth="1"/>
    <col min="12" max="12" width="7.44140625" style="8" customWidth="1"/>
    <col min="13" max="13" width="60.6640625" style="8" customWidth="1"/>
    <col min="14" max="14" width="7.44140625" style="8" customWidth="1"/>
    <col min="15" max="15" width="60.6640625" style="8" customWidth="1"/>
    <col min="16" max="16" width="7.44140625" style="8" customWidth="1"/>
    <col min="17" max="17" width="60.6640625" style="8" customWidth="1"/>
    <col min="18" max="18" width="7.44140625" style="8" customWidth="1"/>
    <col min="19" max="19" width="60.6640625" style="8" customWidth="1"/>
    <col min="20" max="20" width="9.109375" style="33"/>
    <col min="21" max="21" width="14.6640625" style="8" customWidth="1"/>
    <col min="22" max="22" width="12.6640625" style="8" customWidth="1"/>
    <col min="23" max="23" width="9.109375" style="8" customWidth="1"/>
    <col min="24" max="30" width="9.109375" style="8"/>
    <col min="31" max="31" width="9.109375" style="33"/>
    <col min="32" max="32" width="14.88671875" style="8" customWidth="1"/>
    <col min="33" max="33" width="15.21875" style="8" customWidth="1"/>
    <col min="34" max="34" width="15.77734375" style="8" customWidth="1"/>
    <col min="35" max="35" width="16.6640625" style="8" customWidth="1"/>
    <col min="36" max="36" width="14.5546875" style="8" customWidth="1"/>
    <col min="37" max="37" width="15.109375" style="8" customWidth="1"/>
    <col min="38" max="43" width="19.6640625" style="8" customWidth="1"/>
    <col min="44" max="48" width="9.109375" style="8"/>
    <col min="49" max="49" width="9.109375" style="8" customWidth="1"/>
    <col min="50" max="16384" width="9.109375" style="8"/>
  </cols>
  <sheetData>
    <row r="1" spans="1:44" ht="14.25" customHeight="1" x14ac:dyDescent="0.25">
      <c r="A1" s="7"/>
      <c r="B1" s="7"/>
      <c r="C1" s="7"/>
      <c r="D1" s="7"/>
      <c r="E1" s="7"/>
      <c r="F1" s="7"/>
      <c r="H1" s="7"/>
      <c r="I1" s="7"/>
      <c r="J1" s="7"/>
      <c r="K1" s="7"/>
      <c r="L1" s="7"/>
      <c r="M1" s="7"/>
      <c r="N1" s="7"/>
      <c r="O1" s="7"/>
      <c r="P1" s="7"/>
      <c r="Q1" s="7"/>
      <c r="R1" s="7"/>
      <c r="S1" s="7"/>
      <c r="T1" s="32"/>
      <c r="U1" s="7"/>
      <c r="V1" s="7"/>
      <c r="W1" s="7"/>
      <c r="X1" s="7"/>
      <c r="Y1" s="7"/>
      <c r="Z1" s="7"/>
      <c r="AA1" s="7"/>
      <c r="AB1" s="7"/>
      <c r="AC1" s="109" t="s">
        <v>131</v>
      </c>
      <c r="AD1" s="109"/>
      <c r="AE1" s="32"/>
      <c r="AF1" s="7"/>
      <c r="AG1" s="7"/>
      <c r="AH1" s="7"/>
      <c r="AI1" s="7"/>
      <c r="AJ1" s="7"/>
      <c r="AK1" s="7"/>
      <c r="AL1" s="7"/>
      <c r="AM1" s="7"/>
      <c r="AN1" s="7"/>
      <c r="AO1" s="7"/>
      <c r="AP1" s="7"/>
    </row>
    <row r="2" spans="1:44" ht="16.2" thickBot="1" x14ac:dyDescent="0.35">
      <c r="A2" s="7"/>
      <c r="B2" s="15" t="s">
        <v>0</v>
      </c>
      <c r="C2" s="7"/>
      <c r="D2" s="7"/>
      <c r="E2" s="7"/>
      <c r="F2" s="7"/>
      <c r="G2" s="7"/>
      <c r="H2" s="7"/>
      <c r="I2" s="7"/>
      <c r="J2" s="7"/>
      <c r="K2" s="7"/>
      <c r="L2" s="7"/>
      <c r="M2" s="7"/>
      <c r="N2" s="7"/>
      <c r="O2" s="7"/>
      <c r="P2" s="7"/>
      <c r="Q2" s="7"/>
      <c r="R2" s="7"/>
      <c r="S2" s="7"/>
      <c r="T2" s="32"/>
      <c r="U2" s="15" t="s">
        <v>1</v>
      </c>
      <c r="V2" s="7"/>
      <c r="W2" s="7"/>
      <c r="X2" s="7"/>
      <c r="Y2" s="7"/>
      <c r="Z2" s="7"/>
      <c r="AA2" s="7"/>
      <c r="AB2" s="7"/>
      <c r="AC2" s="110" t="s">
        <v>132</v>
      </c>
      <c r="AD2" s="110"/>
      <c r="AE2" s="32"/>
      <c r="AF2" s="15" t="s">
        <v>2</v>
      </c>
      <c r="AG2" s="7"/>
      <c r="AH2" s="7"/>
      <c r="AI2" s="7"/>
      <c r="AJ2" s="7"/>
      <c r="AK2" s="7"/>
      <c r="AL2" s="7"/>
      <c r="AM2" s="7"/>
      <c r="AN2" s="7"/>
      <c r="AO2" s="7"/>
      <c r="AP2" s="7"/>
    </row>
    <row r="3" spans="1:44" ht="14.4" customHeight="1" x14ac:dyDescent="0.25">
      <c r="A3" s="7"/>
      <c r="B3" s="389" t="s">
        <v>3</v>
      </c>
      <c r="C3" s="391" t="s">
        <v>4</v>
      </c>
      <c r="D3" s="393" t="s">
        <v>5</v>
      </c>
      <c r="E3" s="394"/>
      <c r="F3" s="393" t="s">
        <v>6</v>
      </c>
      <c r="G3" s="379"/>
      <c r="H3" s="384" t="s">
        <v>7</v>
      </c>
      <c r="I3" s="379"/>
      <c r="J3" s="384" t="s">
        <v>8</v>
      </c>
      <c r="K3" s="379"/>
      <c r="L3" s="378" t="s">
        <v>9</v>
      </c>
      <c r="M3" s="379"/>
      <c r="N3" s="384" t="s">
        <v>10</v>
      </c>
      <c r="O3" s="385"/>
      <c r="P3" s="378" t="s">
        <v>11</v>
      </c>
      <c r="Q3" s="379"/>
      <c r="R3" s="384" t="s">
        <v>12</v>
      </c>
      <c r="S3" s="385"/>
      <c r="T3" s="32"/>
      <c r="U3" s="380" t="s">
        <v>3</v>
      </c>
      <c r="V3" s="382" t="s">
        <v>13</v>
      </c>
      <c r="W3" s="386" t="s">
        <v>14</v>
      </c>
      <c r="X3" s="387"/>
      <c r="Y3" s="387"/>
      <c r="Z3" s="387"/>
      <c r="AA3" s="387"/>
      <c r="AB3" s="387"/>
      <c r="AC3" s="387"/>
      <c r="AD3" s="388"/>
      <c r="AE3" s="32"/>
      <c r="AF3" s="371"/>
      <c r="AG3" s="354" t="s">
        <v>15</v>
      </c>
      <c r="AH3" s="354" t="s">
        <v>16</v>
      </c>
      <c r="AI3" s="354" t="s">
        <v>17</v>
      </c>
      <c r="AJ3" s="354" t="s">
        <v>18</v>
      </c>
      <c r="AK3" s="354" t="s">
        <v>19</v>
      </c>
      <c r="AL3" s="354" t="s">
        <v>20</v>
      </c>
      <c r="AM3" s="354" t="s">
        <v>21</v>
      </c>
      <c r="AN3" s="354" t="s">
        <v>22</v>
      </c>
      <c r="AO3" s="354" t="s">
        <v>23</v>
      </c>
      <c r="AP3" s="356" t="s">
        <v>24</v>
      </c>
      <c r="AQ3" s="358" t="s">
        <v>25</v>
      </c>
      <c r="AR3" s="7"/>
    </row>
    <row r="4" spans="1:44" ht="35.4" customHeight="1" thickBot="1" x14ac:dyDescent="0.3">
      <c r="A4" s="9"/>
      <c r="B4" s="390"/>
      <c r="C4" s="392"/>
      <c r="D4" s="40" t="s">
        <v>14</v>
      </c>
      <c r="E4" s="40" t="s">
        <v>26</v>
      </c>
      <c r="F4" s="40" t="s">
        <v>14</v>
      </c>
      <c r="G4" s="41" t="s">
        <v>26</v>
      </c>
      <c r="H4" s="42" t="s">
        <v>14</v>
      </c>
      <c r="I4" s="41" t="s">
        <v>26</v>
      </c>
      <c r="J4" s="42" t="s">
        <v>14</v>
      </c>
      <c r="K4" s="41" t="s">
        <v>26</v>
      </c>
      <c r="L4" s="43" t="s">
        <v>14</v>
      </c>
      <c r="M4" s="41" t="s">
        <v>26</v>
      </c>
      <c r="N4" s="42" t="s">
        <v>14</v>
      </c>
      <c r="O4" s="44" t="s">
        <v>26</v>
      </c>
      <c r="P4" s="43" t="s">
        <v>14</v>
      </c>
      <c r="Q4" s="41" t="s">
        <v>26</v>
      </c>
      <c r="R4" s="42" t="s">
        <v>14</v>
      </c>
      <c r="S4" s="44" t="s">
        <v>26</v>
      </c>
      <c r="T4" s="32"/>
      <c r="U4" s="381"/>
      <c r="V4" s="383"/>
      <c r="W4" s="93" t="s">
        <v>5</v>
      </c>
      <c r="X4" s="94" t="s">
        <v>6</v>
      </c>
      <c r="Y4" s="94" t="s">
        <v>7</v>
      </c>
      <c r="Z4" s="94" t="s">
        <v>8</v>
      </c>
      <c r="AA4" s="94" t="s">
        <v>27</v>
      </c>
      <c r="AB4" s="94" t="s">
        <v>28</v>
      </c>
      <c r="AC4" s="94" t="s">
        <v>29</v>
      </c>
      <c r="AD4" s="95" t="s">
        <v>30</v>
      </c>
      <c r="AE4" s="32"/>
      <c r="AF4" s="372"/>
      <c r="AG4" s="355"/>
      <c r="AH4" s="355"/>
      <c r="AI4" s="355"/>
      <c r="AJ4" s="355"/>
      <c r="AK4" s="355"/>
      <c r="AL4" s="355"/>
      <c r="AM4" s="355"/>
      <c r="AN4" s="355"/>
      <c r="AO4" s="355"/>
      <c r="AP4" s="357"/>
      <c r="AQ4" s="359"/>
      <c r="AR4" s="9"/>
    </row>
    <row r="5" spans="1:44" ht="62.4" customHeight="1" x14ac:dyDescent="0.25">
      <c r="A5" s="7"/>
      <c r="B5" s="45" t="s">
        <v>15</v>
      </c>
      <c r="C5" s="46">
        <f t="shared" ref="C5:D12" si="0">V5</f>
        <v>9.7222222222222224E-2</v>
      </c>
      <c r="D5" s="47">
        <f t="shared" si="0"/>
        <v>4</v>
      </c>
      <c r="E5" s="48" t="s">
        <v>31</v>
      </c>
      <c r="F5" s="47">
        <f t="shared" ref="F5:F12" si="1">X5</f>
        <v>4</v>
      </c>
      <c r="G5" s="48" t="s">
        <v>31</v>
      </c>
      <c r="H5" s="47">
        <f t="shared" ref="H5:H12" si="2">Y5</f>
        <v>4</v>
      </c>
      <c r="I5" s="48" t="s">
        <v>31</v>
      </c>
      <c r="J5" s="47">
        <f t="shared" ref="J5:J12" si="3">Z5</f>
        <v>4</v>
      </c>
      <c r="K5" s="48" t="s">
        <v>31</v>
      </c>
      <c r="L5" s="47">
        <f>AA5</f>
        <v>4</v>
      </c>
      <c r="M5" s="48" t="s">
        <v>31</v>
      </c>
      <c r="N5" s="47">
        <f>AB5</f>
        <v>4</v>
      </c>
      <c r="O5" s="48" t="s">
        <v>31</v>
      </c>
      <c r="P5" s="47">
        <f>AC5</f>
        <v>4</v>
      </c>
      <c r="Q5" s="48" t="s">
        <v>31</v>
      </c>
      <c r="R5" s="47">
        <f>AD5</f>
        <v>4</v>
      </c>
      <c r="S5" s="49" t="s">
        <v>31</v>
      </c>
      <c r="T5" s="32"/>
      <c r="U5" s="88" t="s">
        <v>15</v>
      </c>
      <c r="V5" s="89">
        <f t="shared" ref="V5:V13" si="4">AQ5</f>
        <v>9.7222222222222224E-2</v>
      </c>
      <c r="W5" s="90">
        <v>4</v>
      </c>
      <c r="X5" s="91">
        <v>4</v>
      </c>
      <c r="Y5" s="91">
        <v>4</v>
      </c>
      <c r="Z5" s="91">
        <v>4</v>
      </c>
      <c r="AA5" s="91">
        <v>4</v>
      </c>
      <c r="AB5" s="91">
        <v>4</v>
      </c>
      <c r="AC5" s="91">
        <v>4</v>
      </c>
      <c r="AD5" s="92">
        <v>4</v>
      </c>
      <c r="AE5" s="32"/>
      <c r="AF5" s="18" t="s">
        <v>15</v>
      </c>
      <c r="AG5" s="25"/>
      <c r="AH5" s="96">
        <v>2</v>
      </c>
      <c r="AI5" s="96">
        <v>1</v>
      </c>
      <c r="AJ5" s="96">
        <v>2</v>
      </c>
      <c r="AK5" s="96">
        <v>0</v>
      </c>
      <c r="AL5" s="96">
        <v>1</v>
      </c>
      <c r="AM5" s="96">
        <v>0</v>
      </c>
      <c r="AN5" s="96">
        <v>0</v>
      </c>
      <c r="AO5" s="97">
        <v>1</v>
      </c>
      <c r="AP5" s="16">
        <f t="shared" ref="AP5:AP13" si="5">SUM(AG5:AO5)</f>
        <v>7</v>
      </c>
      <c r="AQ5" s="26">
        <f t="shared" ref="AQ5:AQ13" si="6">AP5/$AP$14</f>
        <v>9.7222222222222224E-2</v>
      </c>
      <c r="AR5" s="7"/>
    </row>
    <row r="6" spans="1:44" ht="112.2" customHeight="1" x14ac:dyDescent="0.25">
      <c r="A6" s="7"/>
      <c r="B6" s="50" t="s">
        <v>16</v>
      </c>
      <c r="C6" s="51">
        <f t="shared" si="0"/>
        <v>5.5555555555555552E-2</v>
      </c>
      <c r="D6" s="52">
        <f t="shared" si="0"/>
        <v>4</v>
      </c>
      <c r="E6" s="53" t="s">
        <v>32</v>
      </c>
      <c r="F6" s="52">
        <f t="shared" si="1"/>
        <v>3</v>
      </c>
      <c r="G6" s="53" t="s">
        <v>33</v>
      </c>
      <c r="H6" s="52">
        <f t="shared" si="2"/>
        <v>5</v>
      </c>
      <c r="I6" s="53" t="s">
        <v>136</v>
      </c>
      <c r="J6" s="52">
        <f t="shared" si="3"/>
        <v>4</v>
      </c>
      <c r="K6" s="53" t="s">
        <v>34</v>
      </c>
      <c r="L6" s="52">
        <f t="shared" ref="L6:L12" si="7">AA6</f>
        <v>5</v>
      </c>
      <c r="M6" s="53" t="s">
        <v>35</v>
      </c>
      <c r="N6" s="52">
        <f>AB6</f>
        <v>4</v>
      </c>
      <c r="O6" s="53" t="s">
        <v>36</v>
      </c>
      <c r="P6" s="52">
        <f t="shared" ref="P6:P13" si="8">AC6</f>
        <v>5</v>
      </c>
      <c r="Q6" s="53" t="s">
        <v>37</v>
      </c>
      <c r="R6" s="52">
        <f t="shared" ref="R6:R13" si="9">AD6</f>
        <v>4</v>
      </c>
      <c r="S6" s="55" t="s">
        <v>38</v>
      </c>
      <c r="T6" s="32"/>
      <c r="U6" s="12" t="s">
        <v>16</v>
      </c>
      <c r="V6" s="85">
        <f t="shared" si="4"/>
        <v>5.5555555555555552E-2</v>
      </c>
      <c r="W6" s="82">
        <v>4</v>
      </c>
      <c r="X6" s="37">
        <v>3</v>
      </c>
      <c r="Y6" s="37">
        <v>5</v>
      </c>
      <c r="Z6" s="37">
        <v>4</v>
      </c>
      <c r="AA6" s="37">
        <v>5</v>
      </c>
      <c r="AB6" s="37">
        <v>4</v>
      </c>
      <c r="AC6" s="37">
        <v>5</v>
      </c>
      <c r="AD6" s="69">
        <v>4</v>
      </c>
      <c r="AE6" s="32"/>
      <c r="AF6" s="19" t="s">
        <v>16</v>
      </c>
      <c r="AG6" s="98">
        <v>0</v>
      </c>
      <c r="AH6" s="27"/>
      <c r="AI6" s="98">
        <v>1</v>
      </c>
      <c r="AJ6" s="98">
        <v>1</v>
      </c>
      <c r="AK6" s="98">
        <v>0</v>
      </c>
      <c r="AL6" s="98">
        <v>1</v>
      </c>
      <c r="AM6" s="98">
        <v>0</v>
      </c>
      <c r="AN6" s="98">
        <v>0</v>
      </c>
      <c r="AO6" s="99">
        <v>1</v>
      </c>
      <c r="AP6" s="17">
        <f t="shared" si="5"/>
        <v>4</v>
      </c>
      <c r="AQ6" s="28">
        <f t="shared" si="6"/>
        <v>5.5555555555555552E-2</v>
      </c>
      <c r="AR6" s="7"/>
    </row>
    <row r="7" spans="1:44" ht="66" x14ac:dyDescent="0.25">
      <c r="A7" s="7"/>
      <c r="B7" s="50" t="s">
        <v>39</v>
      </c>
      <c r="C7" s="51">
        <f t="shared" si="0"/>
        <v>6.9444444444444448E-2</v>
      </c>
      <c r="D7" s="52">
        <f t="shared" si="0"/>
        <v>4</v>
      </c>
      <c r="E7" s="53" t="s">
        <v>40</v>
      </c>
      <c r="F7" s="52">
        <f t="shared" si="1"/>
        <v>4</v>
      </c>
      <c r="G7" s="53" t="s">
        <v>40</v>
      </c>
      <c r="H7" s="52">
        <f t="shared" si="2"/>
        <v>3</v>
      </c>
      <c r="I7" s="53" t="s">
        <v>41</v>
      </c>
      <c r="J7" s="52">
        <f t="shared" si="3"/>
        <v>3</v>
      </c>
      <c r="K7" s="53" t="s">
        <v>41</v>
      </c>
      <c r="L7" s="52">
        <f t="shared" si="7"/>
        <v>3</v>
      </c>
      <c r="M7" s="53" t="s">
        <v>41</v>
      </c>
      <c r="N7" s="52">
        <f>AB7</f>
        <v>3</v>
      </c>
      <c r="O7" s="53" t="s">
        <v>41</v>
      </c>
      <c r="P7" s="52">
        <f t="shared" si="8"/>
        <v>3</v>
      </c>
      <c r="Q7" s="53" t="s">
        <v>41</v>
      </c>
      <c r="R7" s="52">
        <f t="shared" si="9"/>
        <v>3</v>
      </c>
      <c r="S7" s="55" t="s">
        <v>41</v>
      </c>
      <c r="T7" s="32"/>
      <c r="U7" s="34" t="s">
        <v>39</v>
      </c>
      <c r="V7" s="85">
        <f t="shared" si="4"/>
        <v>6.9444444444444448E-2</v>
      </c>
      <c r="W7" s="81">
        <v>4</v>
      </c>
      <c r="X7" s="11">
        <v>4</v>
      </c>
      <c r="Y7" s="11">
        <v>3</v>
      </c>
      <c r="Z7" s="11">
        <v>3</v>
      </c>
      <c r="AA7" s="11">
        <v>3</v>
      </c>
      <c r="AB7" s="11">
        <v>3</v>
      </c>
      <c r="AC7" s="11">
        <v>3</v>
      </c>
      <c r="AD7" s="13">
        <v>3</v>
      </c>
      <c r="AE7" s="32"/>
      <c r="AF7" s="19" t="s">
        <v>42</v>
      </c>
      <c r="AG7" s="98">
        <v>1</v>
      </c>
      <c r="AH7" s="98">
        <v>1</v>
      </c>
      <c r="AI7" s="27"/>
      <c r="AJ7" s="98">
        <v>1</v>
      </c>
      <c r="AK7" s="98">
        <v>0</v>
      </c>
      <c r="AL7" s="98">
        <v>1</v>
      </c>
      <c r="AM7" s="98">
        <v>0</v>
      </c>
      <c r="AN7" s="98">
        <v>0</v>
      </c>
      <c r="AO7" s="99">
        <v>1</v>
      </c>
      <c r="AP7" s="17">
        <f t="shared" si="5"/>
        <v>5</v>
      </c>
      <c r="AQ7" s="28">
        <f t="shared" si="6"/>
        <v>6.9444444444444448E-2</v>
      </c>
      <c r="AR7" s="7"/>
    </row>
    <row r="8" spans="1:44" ht="91.95" customHeight="1" x14ac:dyDescent="0.25">
      <c r="A8" s="7"/>
      <c r="B8" s="50" t="s">
        <v>18</v>
      </c>
      <c r="C8" s="51">
        <f t="shared" si="0"/>
        <v>5.5555555555555552E-2</v>
      </c>
      <c r="D8" s="52">
        <f t="shared" si="0"/>
        <v>4</v>
      </c>
      <c r="E8" s="53" t="s">
        <v>43</v>
      </c>
      <c r="F8" s="52">
        <f t="shared" si="1"/>
        <v>4</v>
      </c>
      <c r="G8" s="53" t="s">
        <v>43</v>
      </c>
      <c r="H8" s="52">
        <f t="shared" si="2"/>
        <v>3</v>
      </c>
      <c r="I8" s="53" t="s">
        <v>44</v>
      </c>
      <c r="J8" s="52">
        <f t="shared" si="3"/>
        <v>3</v>
      </c>
      <c r="K8" s="53" t="s">
        <v>44</v>
      </c>
      <c r="L8" s="52">
        <f t="shared" si="7"/>
        <v>3</v>
      </c>
      <c r="M8" s="53" t="s">
        <v>44</v>
      </c>
      <c r="N8" s="52">
        <f>AB8</f>
        <v>3</v>
      </c>
      <c r="O8" s="53" t="s">
        <v>44</v>
      </c>
      <c r="P8" s="52">
        <f t="shared" si="8"/>
        <v>3</v>
      </c>
      <c r="Q8" s="53" t="s">
        <v>44</v>
      </c>
      <c r="R8" s="52">
        <f t="shared" si="9"/>
        <v>3</v>
      </c>
      <c r="S8" s="55" t="s">
        <v>44</v>
      </c>
      <c r="T8" s="32"/>
      <c r="U8" s="34" t="s">
        <v>18</v>
      </c>
      <c r="V8" s="85">
        <f t="shared" si="4"/>
        <v>5.5555555555555552E-2</v>
      </c>
      <c r="W8" s="81">
        <v>4</v>
      </c>
      <c r="X8" s="11">
        <v>4</v>
      </c>
      <c r="Y8" s="11">
        <v>3</v>
      </c>
      <c r="Z8" s="11">
        <v>3</v>
      </c>
      <c r="AA8" s="11">
        <v>3</v>
      </c>
      <c r="AB8" s="11">
        <v>3</v>
      </c>
      <c r="AC8" s="11">
        <v>3</v>
      </c>
      <c r="AD8" s="13">
        <v>3</v>
      </c>
      <c r="AE8" s="32"/>
      <c r="AF8" s="19" t="s">
        <v>18</v>
      </c>
      <c r="AG8" s="98">
        <v>0</v>
      </c>
      <c r="AH8" s="98">
        <v>1</v>
      </c>
      <c r="AI8" s="98">
        <v>1</v>
      </c>
      <c r="AJ8" s="27"/>
      <c r="AK8" s="98">
        <v>0</v>
      </c>
      <c r="AL8" s="98">
        <v>1</v>
      </c>
      <c r="AM8" s="98">
        <v>0</v>
      </c>
      <c r="AN8" s="98">
        <v>0</v>
      </c>
      <c r="AO8" s="99">
        <v>1</v>
      </c>
      <c r="AP8" s="17">
        <f t="shared" si="5"/>
        <v>4</v>
      </c>
      <c r="AQ8" s="28">
        <f t="shared" si="6"/>
        <v>5.5555555555555552E-2</v>
      </c>
      <c r="AR8" s="7"/>
    </row>
    <row r="9" spans="1:44" ht="52.8" x14ac:dyDescent="0.25">
      <c r="A9" s="7"/>
      <c r="B9" s="50" t="s">
        <v>19</v>
      </c>
      <c r="C9" s="51">
        <f t="shared" si="0"/>
        <v>0.18055555555555555</v>
      </c>
      <c r="D9" s="52">
        <f t="shared" si="0"/>
        <v>5</v>
      </c>
      <c r="E9" s="53" t="s">
        <v>45</v>
      </c>
      <c r="F9" s="56">
        <f t="shared" si="1"/>
        <v>5</v>
      </c>
      <c r="G9" s="53" t="s">
        <v>45</v>
      </c>
      <c r="H9" s="56">
        <f t="shared" si="2"/>
        <v>4</v>
      </c>
      <c r="I9" s="53" t="s">
        <v>46</v>
      </c>
      <c r="J9" s="56">
        <f t="shared" si="3"/>
        <v>4</v>
      </c>
      <c r="K9" s="53" t="s">
        <v>46</v>
      </c>
      <c r="L9" s="56">
        <f t="shared" si="7"/>
        <v>4</v>
      </c>
      <c r="M9" s="53" t="s">
        <v>46</v>
      </c>
      <c r="N9" s="56">
        <f t="shared" ref="N9:N12" si="10">AB9</f>
        <v>4</v>
      </c>
      <c r="O9" s="53" t="s">
        <v>46</v>
      </c>
      <c r="P9" s="52">
        <f t="shared" si="8"/>
        <v>4</v>
      </c>
      <c r="Q9" s="53" t="s">
        <v>46</v>
      </c>
      <c r="R9" s="52">
        <f t="shared" si="9"/>
        <v>4</v>
      </c>
      <c r="S9" s="55" t="s">
        <v>46</v>
      </c>
      <c r="T9" s="32"/>
      <c r="U9" s="107" t="s">
        <v>19</v>
      </c>
      <c r="V9" s="108">
        <f t="shared" si="4"/>
        <v>0.18055555555555555</v>
      </c>
      <c r="W9" s="81">
        <v>5</v>
      </c>
      <c r="X9" s="11">
        <v>5</v>
      </c>
      <c r="Y9" s="11">
        <v>4</v>
      </c>
      <c r="Z9" s="11">
        <v>4</v>
      </c>
      <c r="AA9" s="11">
        <v>4</v>
      </c>
      <c r="AB9" s="11">
        <v>4</v>
      </c>
      <c r="AC9" s="11">
        <v>4</v>
      </c>
      <c r="AD9" s="13">
        <v>4</v>
      </c>
      <c r="AE9" s="32"/>
      <c r="AF9" s="19" t="s">
        <v>19</v>
      </c>
      <c r="AG9" s="98">
        <v>2</v>
      </c>
      <c r="AH9" s="98">
        <v>2</v>
      </c>
      <c r="AI9" s="98">
        <v>2</v>
      </c>
      <c r="AJ9" s="98">
        <v>2</v>
      </c>
      <c r="AK9" s="27"/>
      <c r="AL9" s="98">
        <v>2</v>
      </c>
      <c r="AM9" s="98">
        <v>1</v>
      </c>
      <c r="AN9" s="98">
        <v>1</v>
      </c>
      <c r="AO9" s="99">
        <v>1</v>
      </c>
      <c r="AP9" s="17">
        <f t="shared" si="5"/>
        <v>13</v>
      </c>
      <c r="AQ9" s="28">
        <f t="shared" si="6"/>
        <v>0.18055555555555555</v>
      </c>
      <c r="AR9" s="7"/>
    </row>
    <row r="10" spans="1:44" ht="40.200000000000003" customHeight="1" x14ac:dyDescent="0.25">
      <c r="A10" s="7"/>
      <c r="B10" s="57" t="s">
        <v>20</v>
      </c>
      <c r="C10" s="58">
        <f t="shared" si="0"/>
        <v>6.9444444444444448E-2</v>
      </c>
      <c r="D10" s="52">
        <f t="shared" si="0"/>
        <v>3</v>
      </c>
      <c r="E10" s="53" t="s">
        <v>133</v>
      </c>
      <c r="F10" s="52">
        <f t="shared" si="1"/>
        <v>3</v>
      </c>
      <c r="G10" s="53" t="s">
        <v>133</v>
      </c>
      <c r="H10" s="52">
        <f t="shared" si="2"/>
        <v>4</v>
      </c>
      <c r="I10" s="53" t="s">
        <v>135</v>
      </c>
      <c r="J10" s="52">
        <f t="shared" si="3"/>
        <v>4</v>
      </c>
      <c r="K10" s="53" t="s">
        <v>135</v>
      </c>
      <c r="L10" s="52">
        <f t="shared" si="7"/>
        <v>4</v>
      </c>
      <c r="M10" s="53" t="s">
        <v>135</v>
      </c>
      <c r="N10" s="52">
        <f t="shared" si="10"/>
        <v>4</v>
      </c>
      <c r="O10" s="53" t="s">
        <v>135</v>
      </c>
      <c r="P10" s="52">
        <f t="shared" si="8"/>
        <v>4</v>
      </c>
      <c r="Q10" s="53" t="s">
        <v>135</v>
      </c>
      <c r="R10" s="52">
        <f t="shared" si="9"/>
        <v>4</v>
      </c>
      <c r="S10" s="55" t="s">
        <v>135</v>
      </c>
      <c r="T10" s="32"/>
      <c r="U10" s="111" t="s">
        <v>20</v>
      </c>
      <c r="V10" s="112">
        <f t="shared" si="4"/>
        <v>6.9444444444444448E-2</v>
      </c>
      <c r="W10" s="81">
        <v>3</v>
      </c>
      <c r="X10" s="11">
        <v>3</v>
      </c>
      <c r="Y10" s="11">
        <v>4</v>
      </c>
      <c r="Z10" s="11">
        <v>4</v>
      </c>
      <c r="AA10" s="11">
        <v>4</v>
      </c>
      <c r="AB10" s="11">
        <v>4</v>
      </c>
      <c r="AC10" s="11">
        <v>4</v>
      </c>
      <c r="AD10" s="13">
        <v>4</v>
      </c>
      <c r="AE10" s="32"/>
      <c r="AF10" s="19" t="s">
        <v>20</v>
      </c>
      <c r="AG10" s="98">
        <v>1</v>
      </c>
      <c r="AH10" s="98">
        <v>1</v>
      </c>
      <c r="AI10" s="98">
        <v>1</v>
      </c>
      <c r="AJ10" s="98">
        <v>1</v>
      </c>
      <c r="AK10" s="98">
        <v>0</v>
      </c>
      <c r="AL10" s="27"/>
      <c r="AM10" s="98">
        <v>0</v>
      </c>
      <c r="AN10" s="98">
        <v>0</v>
      </c>
      <c r="AO10" s="99">
        <v>1</v>
      </c>
      <c r="AP10" s="17">
        <f t="shared" si="5"/>
        <v>5</v>
      </c>
      <c r="AQ10" s="28">
        <f t="shared" si="6"/>
        <v>6.9444444444444448E-2</v>
      </c>
      <c r="AR10" s="7"/>
    </row>
    <row r="11" spans="1:44" ht="26.4" x14ac:dyDescent="0.25">
      <c r="A11" s="7"/>
      <c r="B11" s="50" t="s">
        <v>21</v>
      </c>
      <c r="C11" s="51">
        <f t="shared" si="0"/>
        <v>0.18055555555555555</v>
      </c>
      <c r="D11" s="52">
        <f t="shared" si="0"/>
        <v>1</v>
      </c>
      <c r="E11" s="53" t="s">
        <v>47</v>
      </c>
      <c r="F11" s="52">
        <f t="shared" si="1"/>
        <v>1</v>
      </c>
      <c r="G11" s="53" t="s">
        <v>47</v>
      </c>
      <c r="H11" s="52">
        <f t="shared" si="2"/>
        <v>3</v>
      </c>
      <c r="I11" s="53" t="s">
        <v>48</v>
      </c>
      <c r="J11" s="52">
        <f t="shared" si="3"/>
        <v>3</v>
      </c>
      <c r="K11" s="53" t="s">
        <v>48</v>
      </c>
      <c r="L11" s="52">
        <f t="shared" si="7"/>
        <v>3</v>
      </c>
      <c r="M11" s="53" t="s">
        <v>48</v>
      </c>
      <c r="N11" s="52">
        <f t="shared" si="10"/>
        <v>2</v>
      </c>
      <c r="O11" s="53" t="s">
        <v>49</v>
      </c>
      <c r="P11" s="52">
        <f t="shared" si="8"/>
        <v>2</v>
      </c>
      <c r="Q11" s="53" t="s">
        <v>50</v>
      </c>
      <c r="R11" s="52">
        <f t="shared" si="9"/>
        <v>2</v>
      </c>
      <c r="S11" s="55" t="s">
        <v>49</v>
      </c>
      <c r="T11" s="32"/>
      <c r="U11" s="107" t="s">
        <v>21</v>
      </c>
      <c r="V11" s="108">
        <f t="shared" si="4"/>
        <v>0.18055555555555555</v>
      </c>
      <c r="W11" s="81">
        <v>1</v>
      </c>
      <c r="X11" s="11">
        <v>1</v>
      </c>
      <c r="Y11" s="11">
        <v>3</v>
      </c>
      <c r="Z11" s="11">
        <v>3</v>
      </c>
      <c r="AA11" s="11">
        <v>3</v>
      </c>
      <c r="AB11" s="11">
        <v>2</v>
      </c>
      <c r="AC11" s="11">
        <v>2</v>
      </c>
      <c r="AD11" s="13">
        <v>2</v>
      </c>
      <c r="AE11" s="32"/>
      <c r="AF11" s="19" t="s">
        <v>21</v>
      </c>
      <c r="AG11" s="98">
        <v>2</v>
      </c>
      <c r="AH11" s="98">
        <v>2</v>
      </c>
      <c r="AI11" s="98">
        <v>2</v>
      </c>
      <c r="AJ11" s="98">
        <v>2</v>
      </c>
      <c r="AK11" s="98">
        <v>1</v>
      </c>
      <c r="AL11" s="98">
        <v>2</v>
      </c>
      <c r="AM11" s="27"/>
      <c r="AN11" s="98">
        <v>1</v>
      </c>
      <c r="AO11" s="99">
        <v>1</v>
      </c>
      <c r="AP11" s="17">
        <f t="shared" si="5"/>
        <v>13</v>
      </c>
      <c r="AQ11" s="28">
        <f t="shared" si="6"/>
        <v>0.18055555555555555</v>
      </c>
      <c r="AR11" s="7"/>
    </row>
    <row r="12" spans="1:44" ht="75.599999999999994" customHeight="1" x14ac:dyDescent="0.25">
      <c r="A12" s="7"/>
      <c r="B12" s="50" t="s">
        <v>22</v>
      </c>
      <c r="C12" s="51">
        <f t="shared" si="0"/>
        <v>0.19444444444444445</v>
      </c>
      <c r="D12" s="52">
        <f t="shared" si="0"/>
        <v>3</v>
      </c>
      <c r="E12" s="54" t="s">
        <v>137</v>
      </c>
      <c r="F12" s="52">
        <f t="shared" si="1"/>
        <v>3</v>
      </c>
      <c r="G12" s="54" t="s">
        <v>137</v>
      </c>
      <c r="H12" s="52">
        <f t="shared" si="2"/>
        <v>4</v>
      </c>
      <c r="I12" s="53" t="s">
        <v>138</v>
      </c>
      <c r="J12" s="52">
        <f t="shared" si="3"/>
        <v>4</v>
      </c>
      <c r="K12" s="53" t="s">
        <v>134</v>
      </c>
      <c r="L12" s="52">
        <f t="shared" si="7"/>
        <v>4</v>
      </c>
      <c r="M12" s="53" t="s">
        <v>134</v>
      </c>
      <c r="N12" s="52">
        <f t="shared" si="10"/>
        <v>4</v>
      </c>
      <c r="O12" s="53" t="s">
        <v>134</v>
      </c>
      <c r="P12" s="52">
        <f t="shared" si="8"/>
        <v>4</v>
      </c>
      <c r="Q12" s="53" t="s">
        <v>134</v>
      </c>
      <c r="R12" s="52">
        <f t="shared" si="9"/>
        <v>4</v>
      </c>
      <c r="S12" s="55" t="s">
        <v>134</v>
      </c>
      <c r="T12" s="32"/>
      <c r="U12" s="111" t="s">
        <v>22</v>
      </c>
      <c r="V12" s="112">
        <f t="shared" si="4"/>
        <v>0.19444444444444445</v>
      </c>
      <c r="W12" s="81">
        <v>3</v>
      </c>
      <c r="X12" s="11">
        <v>3</v>
      </c>
      <c r="Y12" s="11">
        <v>4</v>
      </c>
      <c r="Z12" s="11">
        <v>4</v>
      </c>
      <c r="AA12" s="11">
        <v>4</v>
      </c>
      <c r="AB12" s="11">
        <v>4</v>
      </c>
      <c r="AC12" s="11">
        <v>4</v>
      </c>
      <c r="AD12" s="13">
        <v>4</v>
      </c>
      <c r="AE12" s="32"/>
      <c r="AF12" s="19" t="s">
        <v>22</v>
      </c>
      <c r="AG12" s="98">
        <v>2</v>
      </c>
      <c r="AH12" s="98">
        <v>2</v>
      </c>
      <c r="AI12" s="98">
        <v>2</v>
      </c>
      <c r="AJ12" s="98">
        <v>2</v>
      </c>
      <c r="AK12" s="98">
        <v>1</v>
      </c>
      <c r="AL12" s="98">
        <v>2</v>
      </c>
      <c r="AM12" s="98">
        <v>1</v>
      </c>
      <c r="AN12" s="27"/>
      <c r="AO12" s="99">
        <v>2</v>
      </c>
      <c r="AP12" s="17">
        <f t="shared" si="5"/>
        <v>14</v>
      </c>
      <c r="AQ12" s="28">
        <f t="shared" si="6"/>
        <v>0.19444444444444445</v>
      </c>
      <c r="AR12" s="7"/>
    </row>
    <row r="13" spans="1:44" ht="34.950000000000003" customHeight="1" thickBot="1" x14ac:dyDescent="0.3">
      <c r="A13" s="7"/>
      <c r="B13" s="73" t="s">
        <v>23</v>
      </c>
      <c r="C13" s="74">
        <f>V13</f>
        <v>9.7222222222222224E-2</v>
      </c>
      <c r="D13" s="59">
        <f>W13</f>
        <v>2</v>
      </c>
      <c r="E13" s="60" t="s">
        <v>51</v>
      </c>
      <c r="F13" s="59">
        <f>X13</f>
        <v>2</v>
      </c>
      <c r="G13" s="60" t="s">
        <v>51</v>
      </c>
      <c r="H13" s="59">
        <f>Y13</f>
        <v>4</v>
      </c>
      <c r="I13" s="60" t="s">
        <v>52</v>
      </c>
      <c r="J13" s="59">
        <f>Z13</f>
        <v>4</v>
      </c>
      <c r="K13" s="60" t="s">
        <v>52</v>
      </c>
      <c r="L13" s="59">
        <f>AA13</f>
        <v>3</v>
      </c>
      <c r="M13" s="60" t="s">
        <v>53</v>
      </c>
      <c r="N13" s="59">
        <f>AB13</f>
        <v>3</v>
      </c>
      <c r="O13" s="60" t="s">
        <v>53</v>
      </c>
      <c r="P13" s="59">
        <f t="shared" si="8"/>
        <v>3</v>
      </c>
      <c r="Q13" s="60" t="s">
        <v>54</v>
      </c>
      <c r="R13" s="59">
        <f t="shared" si="9"/>
        <v>3</v>
      </c>
      <c r="S13" s="61" t="s">
        <v>54</v>
      </c>
      <c r="T13" s="32"/>
      <c r="U13" s="107" t="s">
        <v>23</v>
      </c>
      <c r="V13" s="108">
        <f t="shared" si="4"/>
        <v>9.7222222222222224E-2</v>
      </c>
      <c r="W13" s="82">
        <v>2</v>
      </c>
      <c r="X13" s="37">
        <v>2</v>
      </c>
      <c r="Y13" s="37">
        <v>4</v>
      </c>
      <c r="Z13" s="37">
        <v>4</v>
      </c>
      <c r="AA13" s="37">
        <v>3</v>
      </c>
      <c r="AB13" s="37">
        <v>3</v>
      </c>
      <c r="AC13" s="37">
        <v>3</v>
      </c>
      <c r="AD13" s="69">
        <v>3</v>
      </c>
      <c r="AE13" s="32"/>
      <c r="AF13" s="104" t="s">
        <v>23</v>
      </c>
      <c r="AG13" s="100">
        <v>1</v>
      </c>
      <c r="AH13" s="100">
        <v>1</v>
      </c>
      <c r="AI13" s="100">
        <v>1</v>
      </c>
      <c r="AJ13" s="100">
        <v>1</v>
      </c>
      <c r="AK13" s="100">
        <v>1</v>
      </c>
      <c r="AL13" s="100">
        <v>1</v>
      </c>
      <c r="AM13" s="100">
        <v>1</v>
      </c>
      <c r="AN13" s="100">
        <v>0</v>
      </c>
      <c r="AO13" s="101"/>
      <c r="AP13" s="105">
        <f t="shared" si="5"/>
        <v>7</v>
      </c>
      <c r="AQ13" s="106">
        <f t="shared" si="6"/>
        <v>9.7222222222222224E-2</v>
      </c>
      <c r="AR13" s="7"/>
    </row>
    <row r="14" spans="1:44" ht="24.9" customHeight="1" thickBot="1" x14ac:dyDescent="0.3">
      <c r="B14" s="1" t="s">
        <v>24</v>
      </c>
      <c r="C14" s="2">
        <f>SUM(C5:C13)</f>
        <v>1</v>
      </c>
      <c r="D14" s="3"/>
      <c r="E14" s="4">
        <f>SUMPRODUCT($C$5:$C$13,D5:D13)</f>
        <v>3.1805555555555558</v>
      </c>
      <c r="F14" s="5"/>
      <c r="G14" s="39">
        <f>SUMPRODUCT($C$5:$C$13,F5:F13)</f>
        <v>3.1250000000000004</v>
      </c>
      <c r="H14" s="38"/>
      <c r="I14" s="39">
        <f>SUMPRODUCT($C$5:$C$13,H5:H13)</f>
        <v>3.7499999999999996</v>
      </c>
      <c r="J14" s="38"/>
      <c r="K14" s="39">
        <f>SUMPRODUCT($C$5:$C$13,J5:J13)</f>
        <v>3.6944444444444442</v>
      </c>
      <c r="L14" s="38"/>
      <c r="M14" s="39">
        <f>SUMPRODUCT($C$5:$C$13,L5:L13)</f>
        <v>3.6527777777777772</v>
      </c>
      <c r="N14" s="38"/>
      <c r="O14" s="6">
        <f>SUMPRODUCT($C$5:$C$13,N5:N13)</f>
        <v>3.4166666666666665</v>
      </c>
      <c r="P14" s="38"/>
      <c r="Q14" s="39">
        <f>SUMPRODUCT($C$5:$C$13,P5:P13)</f>
        <v>3.4722222222222219</v>
      </c>
      <c r="R14" s="38"/>
      <c r="S14" s="6">
        <f>SUMPRODUCT($C$5:$C$13,R5:R13)</f>
        <v>3.4166666666666665</v>
      </c>
      <c r="T14" s="32"/>
      <c r="U14" s="76" t="s">
        <v>24</v>
      </c>
      <c r="V14" s="86">
        <f>SUM(V5:V13)</f>
        <v>1</v>
      </c>
      <c r="W14" s="83">
        <f t="shared" ref="W14:AD14" si="11">SUMPRODUCT($V$5:$V$13,W5:W13)</f>
        <v>3.1805555555555558</v>
      </c>
      <c r="X14" s="75">
        <f t="shared" si="11"/>
        <v>3.1250000000000004</v>
      </c>
      <c r="Y14" s="75">
        <f t="shared" si="11"/>
        <v>3.7499999999999996</v>
      </c>
      <c r="Z14" s="75">
        <f t="shared" si="11"/>
        <v>3.6944444444444442</v>
      </c>
      <c r="AA14" s="75">
        <f t="shared" si="11"/>
        <v>3.6527777777777772</v>
      </c>
      <c r="AB14" s="75">
        <f t="shared" si="11"/>
        <v>3.4166666666666665</v>
      </c>
      <c r="AC14" s="75">
        <f t="shared" si="11"/>
        <v>3.4722222222222219</v>
      </c>
      <c r="AD14" s="77">
        <f t="shared" si="11"/>
        <v>3.4166666666666665</v>
      </c>
      <c r="AE14" s="32"/>
      <c r="AF14" s="35"/>
      <c r="AG14" s="35"/>
      <c r="AH14" s="35"/>
      <c r="AI14" s="35"/>
      <c r="AJ14" s="35"/>
      <c r="AK14" s="35"/>
      <c r="AL14" s="35"/>
      <c r="AM14" s="35"/>
      <c r="AN14" s="35"/>
      <c r="AO14" s="35"/>
      <c r="AP14" s="102">
        <f>SUM(AP5:AP13)</f>
        <v>72</v>
      </c>
      <c r="AQ14" s="103">
        <f>SUM(AQ5:AQ13)</f>
        <v>1</v>
      </c>
    </row>
    <row r="15" spans="1:44" ht="16.2" thickBot="1" x14ac:dyDescent="0.3">
      <c r="B15" s="7"/>
      <c r="C15" s="29" t="b">
        <f>C14=V14</f>
        <v>1</v>
      </c>
      <c r="D15" s="7" t="b">
        <f>SUM(D5:D13)=SUM(W5:W13)</f>
        <v>1</v>
      </c>
      <c r="E15" s="29" t="b">
        <f>E14=W14</f>
        <v>1</v>
      </c>
      <c r="F15" s="7" t="b">
        <f>SUM(F5:F13)=SUM(X5:X13)</f>
        <v>1</v>
      </c>
      <c r="G15" s="29" t="b">
        <f>G14=X14</f>
        <v>1</v>
      </c>
      <c r="H15" s="7" t="b">
        <f>SUM(H5:H13)=SUM(Y5:Y13)</f>
        <v>1</v>
      </c>
      <c r="I15" s="29" t="b">
        <f>I14=Y14</f>
        <v>1</v>
      </c>
      <c r="J15" s="7" t="b">
        <f>SUM(J5:J13)=SUM(Z5:Z13)</f>
        <v>1</v>
      </c>
      <c r="K15" s="29" t="b">
        <f>Z14=K14</f>
        <v>1</v>
      </c>
      <c r="L15" s="7" t="b">
        <f>SUM(L5:L13)=SUM(AA5:AA13)</f>
        <v>1</v>
      </c>
      <c r="M15" s="29" t="b">
        <f>AA14=M14</f>
        <v>1</v>
      </c>
      <c r="N15" s="7" t="b">
        <f>SUM(N5:N13)=SUM(AB5:AB13)</f>
        <v>1</v>
      </c>
      <c r="O15" s="29" t="b">
        <f>AB14=O14</f>
        <v>1</v>
      </c>
      <c r="P15" s="7" t="b">
        <f>SUM(P5:P13)=SUM(AC5:AC13)</f>
        <v>1</v>
      </c>
      <c r="Q15" s="29" t="b">
        <f>AC14=Q14</f>
        <v>1</v>
      </c>
      <c r="R15" s="7" t="b">
        <f>SUM(R5:R13)=SUM(AD5:AD13)</f>
        <v>1</v>
      </c>
      <c r="S15" s="29" t="b">
        <f>AD14=S14</f>
        <v>1</v>
      </c>
      <c r="T15" s="32"/>
      <c r="U15" s="78" t="s">
        <v>55</v>
      </c>
      <c r="V15" s="87"/>
      <c r="W15" s="84">
        <f>RANK(W14,$W$14:$AD$14,1)</f>
        <v>2</v>
      </c>
      <c r="X15" s="79">
        <f t="shared" ref="X15:AD15" si="12">RANK(X14,$W$14:$AD$14,1)</f>
        <v>1</v>
      </c>
      <c r="Y15" s="79">
        <f t="shared" si="12"/>
        <v>8</v>
      </c>
      <c r="Z15" s="79">
        <f t="shared" si="12"/>
        <v>7</v>
      </c>
      <c r="AA15" s="79">
        <f t="shared" si="12"/>
        <v>6</v>
      </c>
      <c r="AB15" s="79">
        <f t="shared" si="12"/>
        <v>3</v>
      </c>
      <c r="AC15" s="79">
        <f t="shared" si="12"/>
        <v>5</v>
      </c>
      <c r="AD15" s="80">
        <f t="shared" si="12"/>
        <v>3</v>
      </c>
      <c r="AF15" s="7"/>
      <c r="AG15" s="7"/>
      <c r="AH15" s="7"/>
      <c r="AI15" s="7"/>
      <c r="AJ15" s="7"/>
      <c r="AK15" s="7"/>
      <c r="AL15" s="7"/>
      <c r="AM15" s="7"/>
      <c r="AN15" s="7"/>
      <c r="AO15" s="7"/>
      <c r="AP15" s="7"/>
      <c r="AQ15" s="10"/>
      <c r="AR15" s="10"/>
    </row>
    <row r="16" spans="1:44" ht="22.5" customHeight="1" x14ac:dyDescent="0.25">
      <c r="I16" s="7"/>
      <c r="J16" s="7"/>
      <c r="K16" s="7"/>
      <c r="L16" s="7"/>
      <c r="M16" s="7"/>
      <c r="N16" s="7"/>
      <c r="O16" s="7"/>
      <c r="P16" s="7"/>
      <c r="Q16" s="7"/>
      <c r="R16" s="7"/>
      <c r="S16" s="7"/>
      <c r="U16" s="30"/>
      <c r="V16" s="31"/>
      <c r="W16" s="36" t="str">
        <f>IF(W15=1,"BEST","-")</f>
        <v>-</v>
      </c>
      <c r="X16" s="36" t="str">
        <f t="shared" ref="X16:AD16" si="13">IF(X15=1,"BEST","-")</f>
        <v>BEST</v>
      </c>
      <c r="Y16" s="36" t="str">
        <f t="shared" si="13"/>
        <v>-</v>
      </c>
      <c r="Z16" s="36" t="str">
        <f t="shared" si="13"/>
        <v>-</v>
      </c>
      <c r="AA16" s="36" t="str">
        <f t="shared" si="13"/>
        <v>-</v>
      </c>
      <c r="AB16" s="36" t="str">
        <f t="shared" si="13"/>
        <v>-</v>
      </c>
      <c r="AC16" s="36" t="str">
        <f t="shared" si="13"/>
        <v>-</v>
      </c>
      <c r="AD16" s="36" t="str">
        <f t="shared" si="13"/>
        <v>-</v>
      </c>
      <c r="AF16" s="7"/>
      <c r="AG16" s="7"/>
      <c r="AH16" s="7"/>
      <c r="AI16" s="7"/>
      <c r="AJ16" s="7"/>
      <c r="AK16" s="7"/>
      <c r="AL16" s="7"/>
      <c r="AM16" s="7"/>
      <c r="AN16" s="7"/>
      <c r="AO16" s="7"/>
      <c r="AP16" s="7"/>
    </row>
    <row r="17" spans="21:38" x14ac:dyDescent="0.25">
      <c r="U17" s="20"/>
      <c r="V17" s="14"/>
      <c r="W17" s="23"/>
      <c r="X17" s="23"/>
      <c r="Y17" s="23"/>
      <c r="Z17" s="23"/>
      <c r="AA17" s="23"/>
      <c r="AB17" s="23"/>
      <c r="AC17" s="23"/>
      <c r="AD17" s="23"/>
    </row>
    <row r="18" spans="21:38" x14ac:dyDescent="0.25">
      <c r="U18" s="20"/>
      <c r="V18" s="14"/>
      <c r="W18" s="23"/>
      <c r="X18" s="23"/>
      <c r="Y18" s="23"/>
      <c r="Z18" s="23"/>
      <c r="AA18" s="23"/>
      <c r="AB18" s="23"/>
      <c r="AC18" s="23"/>
      <c r="AD18" s="23"/>
      <c r="AF18" s="29" t="s">
        <v>56</v>
      </c>
      <c r="AG18" s="7"/>
      <c r="AH18" s="7"/>
      <c r="AI18" s="7"/>
      <c r="AJ18" s="7"/>
      <c r="AK18" s="7"/>
      <c r="AL18" s="7"/>
    </row>
    <row r="19" spans="21:38" x14ac:dyDescent="0.25">
      <c r="U19" s="20"/>
      <c r="V19" s="14"/>
      <c r="W19" s="23"/>
      <c r="X19" s="23"/>
      <c r="Y19" s="23"/>
      <c r="Z19" s="23"/>
      <c r="AA19" s="23"/>
      <c r="AB19" s="23"/>
      <c r="AC19" s="23"/>
      <c r="AD19" s="23"/>
      <c r="AF19" s="140" t="s">
        <v>14</v>
      </c>
      <c r="AG19" s="141">
        <v>5</v>
      </c>
      <c r="AH19" s="141">
        <v>4</v>
      </c>
      <c r="AI19" s="141">
        <v>3</v>
      </c>
      <c r="AJ19" s="141">
        <v>2</v>
      </c>
      <c r="AK19" s="142">
        <v>1</v>
      </c>
    </row>
    <row r="20" spans="21:38" ht="96.6" customHeight="1" x14ac:dyDescent="0.25">
      <c r="U20" s="20"/>
      <c r="V20" s="14"/>
      <c r="W20" s="23"/>
      <c r="X20" s="23"/>
      <c r="Y20" s="23"/>
      <c r="Z20" s="23"/>
      <c r="AA20" s="23"/>
      <c r="AB20" s="23"/>
      <c r="AC20" s="23"/>
      <c r="AD20" s="23"/>
      <c r="AF20" s="143" t="s">
        <v>21</v>
      </c>
      <c r="AG20" s="144" t="s">
        <v>57</v>
      </c>
      <c r="AH20" s="144" t="s">
        <v>58</v>
      </c>
      <c r="AI20" s="144" t="s">
        <v>59</v>
      </c>
      <c r="AJ20" s="144" t="s">
        <v>60</v>
      </c>
      <c r="AK20" s="145" t="s">
        <v>61</v>
      </c>
    </row>
    <row r="21" spans="21:38" ht="55.2" customHeight="1" x14ac:dyDescent="0.25">
      <c r="U21" s="20"/>
      <c r="V21" s="14"/>
      <c r="W21" s="23"/>
      <c r="X21" s="23"/>
      <c r="Y21" s="23"/>
      <c r="Z21" s="23"/>
      <c r="AA21" s="23"/>
      <c r="AB21" s="23"/>
      <c r="AC21" s="23"/>
      <c r="AD21" s="23"/>
      <c r="AF21" s="143" t="s">
        <v>15</v>
      </c>
      <c r="AG21" s="146" t="s">
        <v>62</v>
      </c>
      <c r="AH21" s="146" t="s">
        <v>63</v>
      </c>
      <c r="AI21" s="146" t="s">
        <v>64</v>
      </c>
      <c r="AJ21" s="146" t="s">
        <v>65</v>
      </c>
      <c r="AK21" s="147" t="s">
        <v>66</v>
      </c>
    </row>
    <row r="22" spans="21:38" ht="20.399999999999999" x14ac:dyDescent="0.25">
      <c r="U22" s="20"/>
      <c r="V22" s="14"/>
      <c r="W22" s="23"/>
      <c r="X22" s="23"/>
      <c r="Y22" s="23"/>
      <c r="Z22" s="23"/>
      <c r="AA22" s="23"/>
      <c r="AB22" s="23"/>
      <c r="AC22" s="23"/>
      <c r="AD22" s="23"/>
      <c r="AF22" s="143" t="s">
        <v>16</v>
      </c>
      <c r="AG22" s="144" t="s">
        <v>67</v>
      </c>
      <c r="AH22" s="144" t="s">
        <v>68</v>
      </c>
      <c r="AI22" s="144" t="s">
        <v>69</v>
      </c>
      <c r="AJ22" s="144" t="s">
        <v>70</v>
      </c>
      <c r="AK22" s="145" t="s">
        <v>71</v>
      </c>
    </row>
    <row r="23" spans="21:38" ht="51.6" customHeight="1" x14ac:dyDescent="0.25">
      <c r="U23" s="20"/>
      <c r="V23" s="14"/>
      <c r="W23" s="23"/>
      <c r="X23" s="23"/>
      <c r="Y23" s="23"/>
      <c r="Z23" s="23"/>
      <c r="AA23" s="23"/>
      <c r="AB23" s="23"/>
      <c r="AC23" s="23"/>
      <c r="AD23" s="23"/>
      <c r="AF23" s="143" t="s">
        <v>39</v>
      </c>
      <c r="AG23" s="144" t="s">
        <v>72</v>
      </c>
      <c r="AH23" s="144" t="s">
        <v>73</v>
      </c>
      <c r="AI23" s="144" t="s">
        <v>74</v>
      </c>
      <c r="AJ23" s="144" t="s">
        <v>75</v>
      </c>
      <c r="AK23" s="145" t="s">
        <v>76</v>
      </c>
    </row>
    <row r="24" spans="21:38" ht="31.8" customHeight="1" x14ac:dyDescent="0.25">
      <c r="U24" s="20"/>
      <c r="V24" s="14"/>
      <c r="W24" s="23"/>
      <c r="X24" s="23"/>
      <c r="Y24" s="23"/>
      <c r="Z24" s="23"/>
      <c r="AA24" s="23"/>
      <c r="AB24" s="23"/>
      <c r="AC24" s="23"/>
      <c r="AD24" s="23"/>
      <c r="AF24" s="143" t="s">
        <v>18</v>
      </c>
      <c r="AG24" s="144" t="s">
        <v>77</v>
      </c>
      <c r="AH24" s="144" t="s">
        <v>78</v>
      </c>
      <c r="AI24" s="144" t="s">
        <v>79</v>
      </c>
      <c r="AJ24" s="144" t="s">
        <v>80</v>
      </c>
      <c r="AK24" s="145" t="s">
        <v>81</v>
      </c>
    </row>
    <row r="25" spans="21:38" ht="38.4" customHeight="1" x14ac:dyDescent="0.25">
      <c r="U25" s="20"/>
      <c r="V25" s="14"/>
      <c r="W25" s="23"/>
      <c r="X25" s="23"/>
      <c r="Y25" s="23"/>
      <c r="Z25" s="23"/>
      <c r="AA25" s="23"/>
      <c r="AB25" s="23"/>
      <c r="AC25" s="23"/>
      <c r="AD25" s="23"/>
      <c r="AF25" s="148" t="s">
        <v>19</v>
      </c>
      <c r="AG25" s="146" t="s">
        <v>82</v>
      </c>
      <c r="AH25" s="146" t="s">
        <v>83</v>
      </c>
      <c r="AI25" s="146" t="s">
        <v>84</v>
      </c>
      <c r="AJ25" s="146" t="s">
        <v>85</v>
      </c>
      <c r="AK25" s="147" t="s">
        <v>86</v>
      </c>
    </row>
    <row r="26" spans="21:38" ht="30.6" x14ac:dyDescent="0.25">
      <c r="U26" s="21"/>
      <c r="V26" s="22"/>
      <c r="W26" s="24"/>
      <c r="X26" s="24"/>
      <c r="Y26" s="24"/>
      <c r="Z26" s="24"/>
      <c r="AA26" s="24"/>
      <c r="AB26" s="24"/>
      <c r="AC26" s="24"/>
      <c r="AD26" s="24"/>
      <c r="AF26" s="148" t="s">
        <v>20</v>
      </c>
      <c r="AG26" s="146" t="s">
        <v>87</v>
      </c>
      <c r="AH26" s="146" t="s">
        <v>88</v>
      </c>
      <c r="AI26" s="146" t="s">
        <v>89</v>
      </c>
      <c r="AJ26" s="146" t="s">
        <v>90</v>
      </c>
      <c r="AK26" s="147" t="s">
        <v>91</v>
      </c>
    </row>
    <row r="27" spans="21:38" ht="56.4" customHeight="1" x14ac:dyDescent="0.25">
      <c r="AF27" s="148" t="s">
        <v>22</v>
      </c>
      <c r="AG27" s="146" t="s">
        <v>92</v>
      </c>
      <c r="AH27" s="146" t="s">
        <v>93</v>
      </c>
      <c r="AI27" s="146" t="s">
        <v>94</v>
      </c>
      <c r="AJ27" s="146" t="s">
        <v>95</v>
      </c>
      <c r="AK27" s="147" t="s">
        <v>96</v>
      </c>
    </row>
    <row r="28" spans="21:38" ht="51" customHeight="1" x14ac:dyDescent="0.25">
      <c r="AF28" s="149" t="s">
        <v>23</v>
      </c>
      <c r="AG28" s="150" t="s">
        <v>97</v>
      </c>
      <c r="AH28" s="150" t="s">
        <v>98</v>
      </c>
      <c r="AI28" s="150" t="s">
        <v>99</v>
      </c>
      <c r="AJ28" s="150" t="s">
        <v>100</v>
      </c>
      <c r="AK28" s="151" t="s">
        <v>101</v>
      </c>
      <c r="AL28" s="70"/>
    </row>
  </sheetData>
  <mergeCells count="25">
    <mergeCell ref="J3:K3"/>
    <mergeCell ref="B3:B4"/>
    <mergeCell ref="C3:C4"/>
    <mergeCell ref="D3:E3"/>
    <mergeCell ref="F3:G3"/>
    <mergeCell ref="H3:I3"/>
    <mergeCell ref="L3:M3"/>
    <mergeCell ref="U3:U4"/>
    <mergeCell ref="V3:V4"/>
    <mergeCell ref="AF3:AF4"/>
    <mergeCell ref="N3:O3"/>
    <mergeCell ref="W3:AD3"/>
    <mergeCell ref="P3:Q3"/>
    <mergeCell ref="R3:S3"/>
    <mergeCell ref="AP3:AP4"/>
    <mergeCell ref="AQ3:AQ4"/>
    <mergeCell ref="AG3:AG4"/>
    <mergeCell ref="AH3:AH4"/>
    <mergeCell ref="AI3:AI4"/>
    <mergeCell ref="AK3:AK4"/>
    <mergeCell ref="AL3:AL4"/>
    <mergeCell ref="AM3:AM4"/>
    <mergeCell ref="AN3:AN4"/>
    <mergeCell ref="AO3:AO4"/>
    <mergeCell ref="AJ3:AJ4"/>
  </mergeCells>
  <conditionalFormatting sqref="D5:F5 H5:H6 J5:J6 L5:L6 D6 F6 D9:F9 D10 F10 W5:AA7 L9:L12 J9:J12 H9:H12 D11:F11 N9:N12 W17:AD25 W9:AA13 D12 F12">
    <cfRule type="colorScale" priority="194">
      <colorScale>
        <cfvo type="num" val="1"/>
        <cfvo type="num" val="2.5"/>
        <cfvo type="num" val="5"/>
        <color rgb="FFFF0000"/>
        <color rgb="FFFFEB84"/>
        <color rgb="FF00B050"/>
      </colorScale>
    </cfRule>
  </conditionalFormatting>
  <conditionalFormatting sqref="W26">
    <cfRule type="colorScale" priority="193">
      <colorScale>
        <cfvo type="num" val="1"/>
        <cfvo type="num" val="2.5"/>
        <cfvo type="num" val="5"/>
        <color rgb="FFFF0000"/>
        <color rgb="FFFFEB84"/>
        <color rgb="FF00B050"/>
      </colorScale>
    </cfRule>
  </conditionalFormatting>
  <conditionalFormatting sqref="X26">
    <cfRule type="colorScale" priority="192">
      <colorScale>
        <cfvo type="num" val="1"/>
        <cfvo type="num" val="2.5"/>
        <cfvo type="num" val="5"/>
        <color rgb="FFFF0000"/>
        <color rgb="FFFFEB84"/>
        <color rgb="FF00B050"/>
      </colorScale>
    </cfRule>
  </conditionalFormatting>
  <conditionalFormatting sqref="Y26">
    <cfRule type="colorScale" priority="191">
      <colorScale>
        <cfvo type="num" val="1"/>
        <cfvo type="num" val="2.5"/>
        <cfvo type="num" val="5"/>
        <color rgb="FFFF0000"/>
        <color rgb="FFFFEB84"/>
        <color rgb="FF00B050"/>
      </colorScale>
    </cfRule>
  </conditionalFormatting>
  <conditionalFormatting sqref="Z26">
    <cfRule type="colorScale" priority="190">
      <colorScale>
        <cfvo type="num" val="1"/>
        <cfvo type="num" val="2.5"/>
        <cfvo type="num" val="5"/>
        <color rgb="FFFF0000"/>
        <color rgb="FFFFEB84"/>
        <color rgb="FF00B050"/>
      </colorScale>
    </cfRule>
  </conditionalFormatting>
  <conditionalFormatting sqref="AA26:AD26">
    <cfRule type="colorScale" priority="189">
      <colorScale>
        <cfvo type="num" val="1"/>
        <cfvo type="num" val="2.5"/>
        <cfvo type="num" val="5"/>
        <color rgb="FFFF0000"/>
        <color rgb="FFFFEB84"/>
        <color rgb="FF00B050"/>
      </colorScale>
    </cfRule>
  </conditionalFormatting>
  <conditionalFormatting sqref="W14">
    <cfRule type="colorScale" priority="188">
      <colorScale>
        <cfvo type="num" val="1"/>
        <cfvo type="num" val="2.5"/>
        <cfvo type="num" val="5"/>
        <color rgb="FFFF0000"/>
        <color rgb="FFFFEB84"/>
        <color rgb="FF00B050"/>
      </colorScale>
    </cfRule>
  </conditionalFormatting>
  <conditionalFormatting sqref="X14">
    <cfRule type="colorScale" priority="187">
      <colorScale>
        <cfvo type="num" val="1"/>
        <cfvo type="num" val="2.5"/>
        <cfvo type="num" val="5"/>
        <color rgb="FFFF0000"/>
        <color rgb="FFFFEB84"/>
        <color rgb="FF00B050"/>
      </colorScale>
    </cfRule>
  </conditionalFormatting>
  <conditionalFormatting sqref="Y14">
    <cfRule type="colorScale" priority="186">
      <colorScale>
        <cfvo type="num" val="1"/>
        <cfvo type="num" val="2.5"/>
        <cfvo type="num" val="5"/>
        <color rgb="FFFF0000"/>
        <color rgb="FFFFEB84"/>
        <color rgb="FF00B050"/>
      </colorScale>
    </cfRule>
  </conditionalFormatting>
  <conditionalFormatting sqref="Z14">
    <cfRule type="colorScale" priority="185">
      <colorScale>
        <cfvo type="num" val="1"/>
        <cfvo type="num" val="2.5"/>
        <cfvo type="num" val="5"/>
        <color rgb="FFFF0000"/>
        <color rgb="FFFFEB84"/>
        <color rgb="FF00B050"/>
      </colorScale>
    </cfRule>
  </conditionalFormatting>
  <conditionalFormatting sqref="AA14">
    <cfRule type="colorScale" priority="184">
      <colorScale>
        <cfvo type="num" val="1"/>
        <cfvo type="num" val="2.5"/>
        <cfvo type="num" val="5"/>
        <color rgb="FFFF0000"/>
        <color rgb="FFFFEB84"/>
        <color rgb="FF00B050"/>
      </colorScale>
    </cfRule>
  </conditionalFormatting>
  <conditionalFormatting sqref="H7 J7 L7 F7 D7:D8">
    <cfRule type="colorScale" priority="183">
      <colorScale>
        <cfvo type="num" val="1"/>
        <cfvo type="num" val="2.5"/>
        <cfvo type="num" val="5"/>
        <color rgb="FFFF0000"/>
        <color rgb="FFFFEB84"/>
        <color rgb="FF00B050"/>
      </colorScale>
    </cfRule>
  </conditionalFormatting>
  <conditionalFormatting sqref="I11">
    <cfRule type="colorScale" priority="182">
      <colorScale>
        <cfvo type="num" val="1"/>
        <cfvo type="num" val="2.5"/>
        <cfvo type="num" val="5"/>
        <color rgb="FFFF0000"/>
        <color rgb="FFFFEB84"/>
        <color rgb="FF00B050"/>
      </colorScale>
    </cfRule>
  </conditionalFormatting>
  <conditionalFormatting sqref="E6">
    <cfRule type="colorScale" priority="176">
      <colorScale>
        <cfvo type="num" val="1"/>
        <cfvo type="num" val="2.5"/>
        <cfvo type="num" val="5"/>
        <color rgb="FFFF0000"/>
        <color rgb="FFFFEB84"/>
        <color rgb="FF00B050"/>
      </colorScale>
    </cfRule>
  </conditionalFormatting>
  <conditionalFormatting sqref="I6">
    <cfRule type="colorScale" priority="175">
      <colorScale>
        <cfvo type="num" val="1"/>
        <cfvo type="num" val="2.5"/>
        <cfvo type="num" val="5"/>
        <color rgb="FFFF0000"/>
        <color rgb="FFFFEB84"/>
        <color rgb="FF00B050"/>
      </colorScale>
    </cfRule>
  </conditionalFormatting>
  <conditionalFormatting sqref="AB5:AB6">
    <cfRule type="colorScale" priority="152">
      <colorScale>
        <cfvo type="num" val="1"/>
        <cfvo type="num" val="2.5"/>
        <cfvo type="num" val="5"/>
        <color rgb="FFFF0000"/>
        <color rgb="FFFFEB84"/>
        <color rgb="FF00B050"/>
      </colorScale>
    </cfRule>
  </conditionalFormatting>
  <conditionalFormatting sqref="N13">
    <cfRule type="colorScale" priority="153">
      <colorScale>
        <cfvo type="num" val="1"/>
        <cfvo type="num" val="2.5"/>
        <cfvo type="num" val="5"/>
        <color rgb="FFFF0000"/>
        <color rgb="FFFFEB84"/>
        <color rgb="FF00B050"/>
      </colorScale>
    </cfRule>
  </conditionalFormatting>
  <conditionalFormatting sqref="AD7">
    <cfRule type="colorScale" priority="131">
      <colorScale>
        <cfvo type="num" val="1"/>
        <cfvo type="num" val="2.5"/>
        <cfvo type="num" val="5"/>
        <color rgb="FFFF0000"/>
        <color rgb="FFFFEB84"/>
        <color rgb="FF00B050"/>
      </colorScale>
    </cfRule>
  </conditionalFormatting>
  <conditionalFormatting sqref="N5:N6">
    <cfRule type="colorScale" priority="159">
      <colorScale>
        <cfvo type="num" val="1"/>
        <cfvo type="num" val="2.5"/>
        <cfvo type="num" val="5"/>
        <color rgb="FFFF0000"/>
        <color rgb="FFFFEB84"/>
        <color rgb="FF00B050"/>
      </colorScale>
    </cfRule>
  </conditionalFormatting>
  <conditionalFormatting sqref="AB14">
    <cfRule type="colorScale" priority="157">
      <colorScale>
        <cfvo type="num" val="1"/>
        <cfvo type="num" val="2.5"/>
        <cfvo type="num" val="5"/>
        <color rgb="FFFF0000"/>
        <color rgb="FFFFEB84"/>
        <color rgb="FF00B050"/>
      </colorScale>
    </cfRule>
  </conditionalFormatting>
  <conditionalFormatting sqref="AB13">
    <cfRule type="colorScale" priority="158">
      <colorScale>
        <cfvo type="num" val="1"/>
        <cfvo type="num" val="2.5"/>
        <cfvo type="num" val="5"/>
        <color rgb="FFFF0000"/>
        <color rgb="FFFFEB84"/>
        <color rgb="FF00B050"/>
      </colorScale>
    </cfRule>
  </conditionalFormatting>
  <conditionalFormatting sqref="J13 L13 H13 D13 F13">
    <cfRule type="colorScale" priority="155">
      <colorScale>
        <cfvo type="num" val="1"/>
        <cfvo type="num" val="2.5"/>
        <cfvo type="num" val="5"/>
        <color rgb="FFFF0000"/>
        <color rgb="FFFFEB84"/>
        <color rgb="FF00B050"/>
      </colorScale>
    </cfRule>
  </conditionalFormatting>
  <conditionalFormatting sqref="N7">
    <cfRule type="colorScale" priority="156">
      <colorScale>
        <cfvo type="num" val="1"/>
        <cfvo type="num" val="2.5"/>
        <cfvo type="num" val="5"/>
        <color rgb="FFFF0000"/>
        <color rgb="FFFFEB84"/>
        <color rgb="FF00B050"/>
      </colorScale>
    </cfRule>
  </conditionalFormatting>
  <conditionalFormatting sqref="AB7">
    <cfRule type="colorScale" priority="151">
      <colorScale>
        <cfvo type="num" val="1"/>
        <cfvo type="num" val="2.5"/>
        <cfvo type="num" val="5"/>
        <color rgb="FFFF0000"/>
        <color rgb="FFFFEB84"/>
        <color rgb="FF00B050"/>
      </colorScale>
    </cfRule>
  </conditionalFormatting>
  <conditionalFormatting sqref="AB9">
    <cfRule type="colorScale" priority="150">
      <colorScale>
        <cfvo type="num" val="1"/>
        <cfvo type="num" val="2.5"/>
        <cfvo type="num" val="5"/>
        <color rgb="FFFF0000"/>
        <color rgb="FFFFEB84"/>
        <color rgb="FF00B050"/>
      </colorScale>
    </cfRule>
  </conditionalFormatting>
  <conditionalFormatting sqref="AB10:AB11">
    <cfRule type="colorScale" priority="149">
      <colorScale>
        <cfvo type="num" val="1"/>
        <cfvo type="num" val="2.5"/>
        <cfvo type="num" val="5"/>
        <color rgb="FFFF0000"/>
        <color rgb="FFFFEB84"/>
        <color rgb="FF00B050"/>
      </colorScale>
    </cfRule>
  </conditionalFormatting>
  <conditionalFormatting sqref="AB12">
    <cfRule type="colorScale" priority="148">
      <colorScale>
        <cfvo type="num" val="1"/>
        <cfvo type="num" val="2.5"/>
        <cfvo type="num" val="5"/>
        <color rgb="FFFF0000"/>
        <color rgb="FFFFEB84"/>
        <color rgb="FF00B050"/>
      </colorScale>
    </cfRule>
  </conditionalFormatting>
  <conditionalFormatting sqref="AD14">
    <cfRule type="colorScale" priority="133">
      <colorScale>
        <cfvo type="num" val="1"/>
        <cfvo type="num" val="2.5"/>
        <cfvo type="num" val="5"/>
        <color rgb="FFFF0000"/>
        <color rgb="FFFFEB84"/>
        <color rgb="FF00B050"/>
      </colorScale>
    </cfRule>
  </conditionalFormatting>
  <conditionalFormatting sqref="AD5:AD6">
    <cfRule type="colorScale" priority="132">
      <colorScale>
        <cfvo type="num" val="1"/>
        <cfvo type="num" val="2.5"/>
        <cfvo type="num" val="5"/>
        <color rgb="FFFF0000"/>
        <color rgb="FFFFEB84"/>
        <color rgb="FF00B050"/>
      </colorScale>
    </cfRule>
  </conditionalFormatting>
  <conditionalFormatting sqref="M13">
    <cfRule type="colorScale" priority="141">
      <colorScale>
        <cfvo type="num" val="1"/>
        <cfvo type="num" val="2.5"/>
        <cfvo type="num" val="5"/>
        <color rgb="FFFF0000"/>
        <color rgb="FFFFEB84"/>
        <color rgb="FF00B050"/>
      </colorScale>
    </cfRule>
  </conditionalFormatting>
  <conditionalFormatting sqref="I9">
    <cfRule type="colorScale" priority="139">
      <colorScale>
        <cfvo type="num" val="1"/>
        <cfvo type="num" val="2.5"/>
        <cfvo type="num" val="5"/>
        <color rgb="FFFF0000"/>
        <color rgb="FFFFEB84"/>
        <color rgb="FF00B050"/>
      </colorScale>
    </cfRule>
  </conditionalFormatting>
  <conditionalFormatting sqref="AC5:AC7 AC9:AC13">
    <cfRule type="colorScale" priority="136">
      <colorScale>
        <cfvo type="num" val="1"/>
        <cfvo type="num" val="2.5"/>
        <cfvo type="num" val="5"/>
        <color rgb="FFFF0000"/>
        <color rgb="FFFFEB84"/>
        <color rgb="FF00B050"/>
      </colorScale>
    </cfRule>
  </conditionalFormatting>
  <conditionalFormatting sqref="AC14">
    <cfRule type="colorScale" priority="135">
      <colorScale>
        <cfvo type="num" val="1"/>
        <cfvo type="num" val="2.5"/>
        <cfvo type="num" val="5"/>
        <color rgb="FFFF0000"/>
        <color rgb="FFFFEB84"/>
        <color rgb="FF00B050"/>
      </colorScale>
    </cfRule>
  </conditionalFormatting>
  <conditionalFormatting sqref="AD13">
    <cfRule type="colorScale" priority="134">
      <colorScale>
        <cfvo type="num" val="1"/>
        <cfvo type="num" val="2.5"/>
        <cfvo type="num" val="5"/>
        <color rgb="FFFF0000"/>
        <color rgb="FFFFEB84"/>
        <color rgb="FF00B050"/>
      </colorScale>
    </cfRule>
  </conditionalFormatting>
  <conditionalFormatting sqref="AD9">
    <cfRule type="colorScale" priority="130">
      <colorScale>
        <cfvo type="num" val="1"/>
        <cfvo type="num" val="2.5"/>
        <cfvo type="num" val="5"/>
        <color rgb="FFFF0000"/>
        <color rgb="FFFFEB84"/>
        <color rgb="FF00B050"/>
      </colorScale>
    </cfRule>
  </conditionalFormatting>
  <conditionalFormatting sqref="AD10:AD11">
    <cfRule type="colorScale" priority="129">
      <colorScale>
        <cfvo type="num" val="1"/>
        <cfvo type="num" val="2.5"/>
        <cfvo type="num" val="5"/>
        <color rgb="FFFF0000"/>
        <color rgb="FFFFEB84"/>
        <color rgb="FF00B050"/>
      </colorScale>
    </cfRule>
  </conditionalFormatting>
  <conditionalFormatting sqref="AD12">
    <cfRule type="colorScale" priority="128">
      <colorScale>
        <cfvo type="num" val="1"/>
        <cfvo type="num" val="2.5"/>
        <cfvo type="num" val="5"/>
        <color rgb="FFFF0000"/>
        <color rgb="FFFFEB84"/>
        <color rgb="FF00B050"/>
      </colorScale>
    </cfRule>
  </conditionalFormatting>
  <conditionalFormatting sqref="P5">
    <cfRule type="colorScale" priority="127">
      <colorScale>
        <cfvo type="num" val="1"/>
        <cfvo type="num" val="2.5"/>
        <cfvo type="num" val="5"/>
        <color rgb="FFFF0000"/>
        <color rgb="FFFFEB84"/>
        <color rgb="FF00B050"/>
      </colorScale>
    </cfRule>
  </conditionalFormatting>
  <conditionalFormatting sqref="R6:R7 R9:R13">
    <cfRule type="colorScale" priority="115">
      <colorScale>
        <cfvo type="num" val="1"/>
        <cfvo type="num" val="2.5"/>
        <cfvo type="num" val="5"/>
        <color rgb="FFFF0000"/>
        <color rgb="FFFFEB84"/>
        <color rgb="FF00B050"/>
      </colorScale>
    </cfRule>
  </conditionalFormatting>
  <conditionalFormatting sqref="Q7">
    <cfRule type="colorScale" priority="125">
      <colorScale>
        <cfvo type="num" val="1"/>
        <cfvo type="num" val="2.5"/>
        <cfvo type="num" val="5"/>
        <color rgb="FFFF0000"/>
        <color rgb="FFFFEB84"/>
        <color rgb="FF00B050"/>
      </colorScale>
    </cfRule>
  </conditionalFormatting>
  <conditionalFormatting sqref="AD8">
    <cfRule type="colorScale" priority="111">
      <colorScale>
        <cfvo type="num" val="1"/>
        <cfvo type="num" val="2.5"/>
        <cfvo type="num" val="5"/>
        <color rgb="FFFF0000"/>
        <color rgb="FFFFEB84"/>
        <color rgb="FF00B050"/>
      </colorScale>
    </cfRule>
  </conditionalFormatting>
  <conditionalFormatting sqref="R5">
    <cfRule type="colorScale" priority="122">
      <colorScale>
        <cfvo type="num" val="1"/>
        <cfvo type="num" val="2.5"/>
        <cfvo type="num" val="5"/>
        <color rgb="FFFF0000"/>
        <color rgb="FFFFEB84"/>
        <color rgb="FF00B050"/>
      </colorScale>
    </cfRule>
  </conditionalFormatting>
  <conditionalFormatting sqref="S7">
    <cfRule type="colorScale" priority="120">
      <colorScale>
        <cfvo type="num" val="1"/>
        <cfvo type="num" val="2.5"/>
        <cfvo type="num" val="5"/>
        <color rgb="FFFF0000"/>
        <color rgb="FFFFEB84"/>
        <color rgb="FF00B050"/>
      </colorScale>
    </cfRule>
  </conditionalFormatting>
  <conditionalFormatting sqref="P6:P7 P9:P13">
    <cfRule type="colorScale" priority="116">
      <colorScale>
        <cfvo type="num" val="1"/>
        <cfvo type="num" val="2.5"/>
        <cfvo type="num" val="5"/>
        <color rgb="FFFF0000"/>
        <color rgb="FFFFEB84"/>
        <color rgb="FF00B050"/>
      </colorScale>
    </cfRule>
  </conditionalFormatting>
  <conditionalFormatting sqref="W8:AA8">
    <cfRule type="colorScale" priority="114">
      <colorScale>
        <cfvo type="num" val="1"/>
        <cfvo type="num" val="2.5"/>
        <cfvo type="num" val="5"/>
        <color rgb="FFFF0000"/>
        <color rgb="FFFFEB84"/>
        <color rgb="FF00B050"/>
      </colorScale>
    </cfRule>
  </conditionalFormatting>
  <conditionalFormatting sqref="AB8">
    <cfRule type="colorScale" priority="113">
      <colorScale>
        <cfvo type="num" val="1"/>
        <cfvo type="num" val="2.5"/>
        <cfvo type="num" val="5"/>
        <color rgb="FFFF0000"/>
        <color rgb="FFFFEB84"/>
        <color rgb="FF00B050"/>
      </colorScale>
    </cfRule>
  </conditionalFormatting>
  <conditionalFormatting sqref="AC8">
    <cfRule type="colorScale" priority="112">
      <colorScale>
        <cfvo type="num" val="1"/>
        <cfvo type="num" val="2.5"/>
        <cfvo type="num" val="5"/>
        <color rgb="FFFF0000"/>
        <color rgb="FFFFEB84"/>
        <color rgb="FF00B050"/>
      </colorScale>
    </cfRule>
  </conditionalFormatting>
  <conditionalFormatting sqref="F8">
    <cfRule type="colorScale" priority="110">
      <colorScale>
        <cfvo type="num" val="1"/>
        <cfvo type="num" val="2.5"/>
        <cfvo type="num" val="5"/>
        <color rgb="FFFF0000"/>
        <color rgb="FFFFEB84"/>
        <color rgb="FF00B050"/>
      </colorScale>
    </cfRule>
  </conditionalFormatting>
  <conditionalFormatting sqref="H8">
    <cfRule type="colorScale" priority="108">
      <colorScale>
        <cfvo type="num" val="1"/>
        <cfvo type="num" val="2.5"/>
        <cfvo type="num" val="5"/>
        <color rgb="FFFF0000"/>
        <color rgb="FFFFEB84"/>
        <color rgb="FF00B050"/>
      </colorScale>
    </cfRule>
  </conditionalFormatting>
  <conditionalFormatting sqref="I8">
    <cfRule type="colorScale" priority="107">
      <colorScale>
        <cfvo type="num" val="1"/>
        <cfvo type="num" val="2.5"/>
        <cfvo type="num" val="5"/>
        <color rgb="FFFF0000"/>
        <color rgb="FFFFEB84"/>
        <color rgb="FF00B050"/>
      </colorScale>
    </cfRule>
  </conditionalFormatting>
  <conditionalFormatting sqref="J8">
    <cfRule type="colorScale" priority="106">
      <colorScale>
        <cfvo type="num" val="1"/>
        <cfvo type="num" val="2.5"/>
        <cfvo type="num" val="5"/>
        <color rgb="FFFF0000"/>
        <color rgb="FFFFEB84"/>
        <color rgb="FF00B050"/>
      </colorScale>
    </cfRule>
  </conditionalFormatting>
  <conditionalFormatting sqref="L8">
    <cfRule type="colorScale" priority="104">
      <colorScale>
        <cfvo type="num" val="1"/>
        <cfvo type="num" val="2.5"/>
        <cfvo type="num" val="5"/>
        <color rgb="FFFF0000"/>
        <color rgb="FFFFEB84"/>
        <color rgb="FF00B050"/>
      </colorScale>
    </cfRule>
  </conditionalFormatting>
  <conditionalFormatting sqref="N8">
    <cfRule type="colorScale" priority="102">
      <colorScale>
        <cfvo type="num" val="1"/>
        <cfvo type="num" val="2.5"/>
        <cfvo type="num" val="5"/>
        <color rgb="FFFF0000"/>
        <color rgb="FFFFEB84"/>
        <color rgb="FF00B050"/>
      </colorScale>
    </cfRule>
  </conditionalFormatting>
  <conditionalFormatting sqref="P8">
    <cfRule type="colorScale" priority="98">
      <colorScale>
        <cfvo type="num" val="1"/>
        <cfvo type="num" val="2.5"/>
        <cfvo type="num" val="5"/>
        <color rgb="FFFF0000"/>
        <color rgb="FFFFEB84"/>
        <color rgb="FF00B050"/>
      </colorScale>
    </cfRule>
  </conditionalFormatting>
  <conditionalFormatting sqref="R8">
    <cfRule type="colorScale" priority="97">
      <colorScale>
        <cfvo type="num" val="1"/>
        <cfvo type="num" val="2.5"/>
        <cfvo type="num" val="5"/>
        <color rgb="FFFF0000"/>
        <color rgb="FFFFEB84"/>
        <color rgb="FF00B050"/>
      </colorScale>
    </cfRule>
  </conditionalFormatting>
  <conditionalFormatting sqref="W5:AD13">
    <cfRule type="cellIs" dxfId="32" priority="92" operator="equal">
      <formula>1</formula>
    </cfRule>
    <cfRule type="cellIs" dxfId="31" priority="93" operator="equal">
      <formula>2</formula>
    </cfRule>
    <cfRule type="cellIs" dxfId="30" priority="94" operator="equal">
      <formula>3</formula>
    </cfRule>
    <cfRule type="cellIs" dxfId="29" priority="95" operator="equal">
      <formula>5</formula>
    </cfRule>
    <cfRule type="cellIs" dxfId="28" priority="96" operator="equal">
      <formula>4</formula>
    </cfRule>
  </conditionalFormatting>
  <conditionalFormatting sqref="G5">
    <cfRule type="colorScale" priority="91">
      <colorScale>
        <cfvo type="num" val="1"/>
        <cfvo type="num" val="2.5"/>
        <cfvo type="num" val="5"/>
        <color rgb="FFFF0000"/>
        <color rgb="FFFFEB84"/>
        <color rgb="FF00B050"/>
      </colorScale>
    </cfRule>
  </conditionalFormatting>
  <conditionalFormatting sqref="I5">
    <cfRule type="colorScale" priority="90">
      <colorScale>
        <cfvo type="num" val="1"/>
        <cfvo type="num" val="2.5"/>
        <cfvo type="num" val="5"/>
        <color rgb="FFFF0000"/>
        <color rgb="FFFFEB84"/>
        <color rgb="FF00B050"/>
      </colorScale>
    </cfRule>
  </conditionalFormatting>
  <conditionalFormatting sqref="D5:D13 F5:F13 H5:H13 J5:J13 L5:L13 N5:N13 P5:P13 R5:R13">
    <cfRule type="cellIs" dxfId="27" priority="85" operator="equal">
      <formula>1</formula>
    </cfRule>
    <cfRule type="cellIs" dxfId="26" priority="86" operator="equal">
      <formula>2</formula>
    </cfRule>
    <cfRule type="cellIs" dxfId="25" priority="87" operator="equal">
      <formula>3</formula>
    </cfRule>
    <cfRule type="cellIs" dxfId="24" priority="88" operator="equal">
      <formula>4</formula>
    </cfRule>
    <cfRule type="cellIs" dxfId="23" priority="89" operator="equal">
      <formula>5</formula>
    </cfRule>
  </conditionalFormatting>
  <conditionalFormatting sqref="K5">
    <cfRule type="colorScale" priority="84">
      <colorScale>
        <cfvo type="num" val="1"/>
        <cfvo type="num" val="2.5"/>
        <cfvo type="num" val="5"/>
        <color rgb="FFFF0000"/>
        <color rgb="FFFFEB84"/>
        <color rgb="FF00B050"/>
      </colorScale>
    </cfRule>
  </conditionalFormatting>
  <conditionalFormatting sqref="M5">
    <cfRule type="colorScale" priority="83">
      <colorScale>
        <cfvo type="num" val="1"/>
        <cfvo type="num" val="2.5"/>
        <cfvo type="num" val="5"/>
        <color rgb="FFFF0000"/>
        <color rgb="FFFFEB84"/>
        <color rgb="FF00B050"/>
      </colorScale>
    </cfRule>
  </conditionalFormatting>
  <conditionalFormatting sqref="Q5">
    <cfRule type="colorScale" priority="82">
      <colorScale>
        <cfvo type="num" val="1"/>
        <cfvo type="num" val="2.5"/>
        <cfvo type="num" val="5"/>
        <color rgb="FFFF0000"/>
        <color rgb="FFFFEB84"/>
        <color rgb="FF00B050"/>
      </colorScale>
    </cfRule>
  </conditionalFormatting>
  <conditionalFormatting sqref="O5">
    <cfRule type="colorScale" priority="81">
      <colorScale>
        <cfvo type="num" val="1"/>
        <cfvo type="num" val="2.5"/>
        <cfvo type="num" val="5"/>
        <color rgb="FFFF0000"/>
        <color rgb="FFFFEB84"/>
        <color rgb="FF00B050"/>
      </colorScale>
    </cfRule>
  </conditionalFormatting>
  <conditionalFormatting sqref="S5">
    <cfRule type="colorScale" priority="80">
      <colorScale>
        <cfvo type="num" val="1"/>
        <cfvo type="num" val="2.5"/>
        <cfvo type="num" val="5"/>
        <color rgb="FFFF0000"/>
        <color rgb="FFFFEB84"/>
        <color rgb="FF00B050"/>
      </colorScale>
    </cfRule>
  </conditionalFormatting>
  <conditionalFormatting sqref="M6">
    <cfRule type="colorScale" priority="79">
      <colorScale>
        <cfvo type="num" val="1"/>
        <cfvo type="num" val="2.5"/>
        <cfvo type="num" val="5"/>
        <color rgb="FFFF0000"/>
        <color rgb="FFFFEB84"/>
        <color rgb="FF00B050"/>
      </colorScale>
    </cfRule>
  </conditionalFormatting>
  <conditionalFormatting sqref="Q6">
    <cfRule type="colorScale" priority="78">
      <colorScale>
        <cfvo type="num" val="1"/>
        <cfvo type="num" val="2.5"/>
        <cfvo type="num" val="5"/>
        <color rgb="FFFF0000"/>
        <color rgb="FFFFEB84"/>
        <color rgb="FF00B050"/>
      </colorScale>
    </cfRule>
  </conditionalFormatting>
  <conditionalFormatting sqref="K6">
    <cfRule type="colorScale" priority="77">
      <colorScale>
        <cfvo type="num" val="1"/>
        <cfvo type="num" val="2.5"/>
        <cfvo type="num" val="5"/>
        <color rgb="FFFF0000"/>
        <color rgb="FFFFEB84"/>
        <color rgb="FF00B050"/>
      </colorScale>
    </cfRule>
  </conditionalFormatting>
  <conditionalFormatting sqref="O6">
    <cfRule type="colorScale" priority="72">
      <colorScale>
        <cfvo type="num" val="1"/>
        <cfvo type="num" val="2.5"/>
        <cfvo type="num" val="5"/>
        <color rgb="FFFF0000"/>
        <color rgb="FFFFEB84"/>
        <color rgb="FF00B050"/>
      </colorScale>
    </cfRule>
  </conditionalFormatting>
  <conditionalFormatting sqref="S6">
    <cfRule type="colorScale" priority="71">
      <colorScale>
        <cfvo type="num" val="1"/>
        <cfvo type="num" val="2.5"/>
        <cfvo type="num" val="5"/>
        <color rgb="FFFF0000"/>
        <color rgb="FFFFEB84"/>
        <color rgb="FF00B050"/>
      </colorScale>
    </cfRule>
  </conditionalFormatting>
  <conditionalFormatting sqref="G6">
    <cfRule type="colorScale" priority="70">
      <colorScale>
        <cfvo type="num" val="1"/>
        <cfvo type="num" val="2.5"/>
        <cfvo type="num" val="5"/>
        <color rgb="FFFF0000"/>
        <color rgb="FFFFEB84"/>
        <color rgb="FF00B050"/>
      </colorScale>
    </cfRule>
  </conditionalFormatting>
  <conditionalFormatting sqref="O7">
    <cfRule type="colorScale" priority="69">
      <colorScale>
        <cfvo type="num" val="1"/>
        <cfvo type="num" val="2.5"/>
        <cfvo type="num" val="5"/>
        <color rgb="FFFF0000"/>
        <color rgb="FFFFEB84"/>
        <color rgb="FF00B050"/>
      </colorScale>
    </cfRule>
  </conditionalFormatting>
  <conditionalFormatting sqref="K7">
    <cfRule type="colorScale" priority="68">
      <colorScale>
        <cfvo type="num" val="1"/>
        <cfvo type="num" val="2.5"/>
        <cfvo type="num" val="5"/>
        <color rgb="FFFF0000"/>
        <color rgb="FFFFEB84"/>
        <color rgb="FF00B050"/>
      </colorScale>
    </cfRule>
  </conditionalFormatting>
  <conditionalFormatting sqref="M7">
    <cfRule type="colorScale" priority="67">
      <colorScale>
        <cfvo type="num" val="1"/>
        <cfvo type="num" val="2.5"/>
        <cfvo type="num" val="5"/>
        <color rgb="FFFF0000"/>
        <color rgb="FFFFEB84"/>
        <color rgb="FF00B050"/>
      </colorScale>
    </cfRule>
  </conditionalFormatting>
  <conditionalFormatting sqref="I7">
    <cfRule type="colorScale" priority="66">
      <colorScale>
        <cfvo type="num" val="1"/>
        <cfvo type="num" val="2.5"/>
        <cfvo type="num" val="5"/>
        <color rgb="FFFF0000"/>
        <color rgb="FFFFEB84"/>
        <color rgb="FF00B050"/>
      </colorScale>
    </cfRule>
  </conditionalFormatting>
  <conditionalFormatting sqref="E7">
    <cfRule type="colorScale" priority="64">
      <colorScale>
        <cfvo type="num" val="1"/>
        <cfvo type="num" val="2.5"/>
        <cfvo type="num" val="5"/>
        <color rgb="FFFF0000"/>
        <color rgb="FFFFEB84"/>
        <color rgb="FF00B050"/>
      </colorScale>
    </cfRule>
  </conditionalFormatting>
  <conditionalFormatting sqref="G7">
    <cfRule type="colorScale" priority="63">
      <colorScale>
        <cfvo type="num" val="1"/>
        <cfvo type="num" val="2.5"/>
        <cfvo type="num" val="5"/>
        <color rgb="FFFF0000"/>
        <color rgb="FFFFEB84"/>
        <color rgb="FF00B050"/>
      </colorScale>
    </cfRule>
  </conditionalFormatting>
  <conditionalFormatting sqref="E8">
    <cfRule type="colorScale" priority="60">
      <colorScale>
        <cfvo type="num" val="1"/>
        <cfvo type="num" val="2.5"/>
        <cfvo type="num" val="5"/>
        <color rgb="FFFF0000"/>
        <color rgb="FFFFEB84"/>
        <color rgb="FF00B050"/>
      </colorScale>
    </cfRule>
  </conditionalFormatting>
  <conditionalFormatting sqref="G8">
    <cfRule type="colorScale" priority="59">
      <colorScale>
        <cfvo type="num" val="1"/>
        <cfvo type="num" val="2.5"/>
        <cfvo type="num" val="5"/>
        <color rgb="FFFF0000"/>
        <color rgb="FFFFEB84"/>
        <color rgb="FF00B050"/>
      </colorScale>
    </cfRule>
  </conditionalFormatting>
  <conditionalFormatting sqref="K8">
    <cfRule type="colorScale" priority="58">
      <colorScale>
        <cfvo type="num" val="1"/>
        <cfvo type="num" val="2.5"/>
        <cfvo type="num" val="5"/>
        <color rgb="FFFF0000"/>
        <color rgb="FFFFEB84"/>
        <color rgb="FF00B050"/>
      </colorScale>
    </cfRule>
  </conditionalFormatting>
  <conditionalFormatting sqref="M8">
    <cfRule type="colorScale" priority="57">
      <colorScale>
        <cfvo type="num" val="1"/>
        <cfvo type="num" val="2.5"/>
        <cfvo type="num" val="5"/>
        <color rgb="FFFF0000"/>
        <color rgb="FFFFEB84"/>
        <color rgb="FF00B050"/>
      </colorScale>
    </cfRule>
  </conditionalFormatting>
  <conditionalFormatting sqref="O8">
    <cfRule type="colorScale" priority="56">
      <colorScale>
        <cfvo type="num" val="1"/>
        <cfvo type="num" val="2.5"/>
        <cfvo type="num" val="5"/>
        <color rgb="FFFF0000"/>
        <color rgb="FFFFEB84"/>
        <color rgb="FF00B050"/>
      </colorScale>
    </cfRule>
  </conditionalFormatting>
  <conditionalFormatting sqref="Q8">
    <cfRule type="colorScale" priority="55">
      <colorScale>
        <cfvo type="num" val="1"/>
        <cfvo type="num" val="2.5"/>
        <cfvo type="num" val="5"/>
        <color rgb="FFFF0000"/>
        <color rgb="FFFFEB84"/>
        <color rgb="FF00B050"/>
      </colorScale>
    </cfRule>
  </conditionalFormatting>
  <conditionalFormatting sqref="S8">
    <cfRule type="colorScale" priority="54">
      <colorScale>
        <cfvo type="num" val="1"/>
        <cfvo type="num" val="2.5"/>
        <cfvo type="num" val="5"/>
        <color rgb="FFFF0000"/>
        <color rgb="FFFFEB84"/>
        <color rgb="FF00B050"/>
      </colorScale>
    </cfRule>
  </conditionalFormatting>
  <conditionalFormatting sqref="S10">
    <cfRule type="colorScale" priority="41">
      <colorScale>
        <cfvo type="num" val="1"/>
        <cfvo type="num" val="2.5"/>
        <cfvo type="num" val="5"/>
        <color rgb="FFFF0000"/>
        <color rgb="FFFFEB84"/>
        <color rgb="FF00B050"/>
      </colorScale>
    </cfRule>
  </conditionalFormatting>
  <conditionalFormatting sqref="E10">
    <cfRule type="colorScale" priority="40">
      <colorScale>
        <cfvo type="num" val="1"/>
        <cfvo type="num" val="2.5"/>
        <cfvo type="num" val="5"/>
        <color rgb="FFFF0000"/>
        <color rgb="FFFFEB84"/>
        <color rgb="FF00B050"/>
      </colorScale>
    </cfRule>
  </conditionalFormatting>
  <conditionalFormatting sqref="G13">
    <cfRule type="colorScale" priority="39">
      <colorScale>
        <cfvo type="num" val="1"/>
        <cfvo type="num" val="2.5"/>
        <cfvo type="num" val="5"/>
        <color rgb="FFFF0000"/>
        <color rgb="FFFFEB84"/>
        <color rgb="FF00B050"/>
      </colorScale>
    </cfRule>
  </conditionalFormatting>
  <conditionalFormatting sqref="K13">
    <cfRule type="colorScale" priority="38">
      <colorScale>
        <cfvo type="num" val="1"/>
        <cfvo type="num" val="2.5"/>
        <cfvo type="num" val="5"/>
        <color rgb="FFFF0000"/>
        <color rgb="FFFFEB84"/>
        <color rgb="FF00B050"/>
      </colorScale>
    </cfRule>
  </conditionalFormatting>
  <conditionalFormatting sqref="O13">
    <cfRule type="colorScale" priority="37">
      <colorScale>
        <cfvo type="num" val="1"/>
        <cfvo type="num" val="2.5"/>
        <cfvo type="num" val="5"/>
        <color rgb="FFFF0000"/>
        <color rgb="FFFFEB84"/>
        <color rgb="FF00B050"/>
      </colorScale>
    </cfRule>
  </conditionalFormatting>
  <conditionalFormatting sqref="Q13">
    <cfRule type="colorScale" priority="36">
      <colorScale>
        <cfvo type="num" val="1"/>
        <cfvo type="num" val="2.5"/>
        <cfvo type="num" val="5"/>
        <color rgb="FFFF0000"/>
        <color rgb="FFFFEB84"/>
        <color rgb="FF00B050"/>
      </colorScale>
    </cfRule>
  </conditionalFormatting>
  <conditionalFormatting sqref="S13">
    <cfRule type="colorScale" priority="35">
      <colorScale>
        <cfvo type="num" val="1"/>
        <cfvo type="num" val="2.5"/>
        <cfvo type="num" val="5"/>
        <color rgb="FFFF0000"/>
        <color rgb="FFFFEB84"/>
        <color rgb="FF00B050"/>
      </colorScale>
    </cfRule>
  </conditionalFormatting>
  <conditionalFormatting sqref="I13">
    <cfRule type="colorScale" priority="34">
      <colorScale>
        <cfvo type="num" val="1"/>
        <cfvo type="num" val="2.5"/>
        <cfvo type="num" val="5"/>
        <color rgb="FFFF0000"/>
        <color rgb="FFFFEB84"/>
        <color rgb="FF00B050"/>
      </colorScale>
    </cfRule>
  </conditionalFormatting>
  <conditionalFormatting sqref="E13">
    <cfRule type="colorScale" priority="33">
      <colorScale>
        <cfvo type="num" val="1"/>
        <cfvo type="num" val="2.5"/>
        <cfvo type="num" val="5"/>
        <color rgb="FFFF0000"/>
        <color rgb="FFFFEB84"/>
        <color rgb="FF00B050"/>
      </colorScale>
    </cfRule>
  </conditionalFormatting>
  <conditionalFormatting sqref="G11">
    <cfRule type="colorScale" priority="32">
      <colorScale>
        <cfvo type="num" val="1"/>
        <cfvo type="num" val="2.5"/>
        <cfvo type="num" val="5"/>
        <color rgb="FFFF0000"/>
        <color rgb="FFFFEB84"/>
        <color rgb="FF00B050"/>
      </colorScale>
    </cfRule>
  </conditionalFormatting>
  <conditionalFormatting sqref="K11">
    <cfRule type="colorScale" priority="31">
      <colorScale>
        <cfvo type="num" val="1"/>
        <cfvo type="num" val="2.5"/>
        <cfvo type="num" val="5"/>
        <color rgb="FFFF0000"/>
        <color rgb="FFFFEB84"/>
        <color rgb="FF00B050"/>
      </colorScale>
    </cfRule>
  </conditionalFormatting>
  <conditionalFormatting sqref="M11">
    <cfRule type="colorScale" priority="30">
      <colorScale>
        <cfvo type="num" val="1"/>
        <cfvo type="num" val="2.5"/>
        <cfvo type="num" val="5"/>
        <color rgb="FFFF0000"/>
        <color rgb="FFFFEB84"/>
        <color rgb="FF00B050"/>
      </colorScale>
    </cfRule>
  </conditionalFormatting>
  <conditionalFormatting sqref="O11">
    <cfRule type="colorScale" priority="29">
      <colorScale>
        <cfvo type="num" val="1"/>
        <cfvo type="num" val="2.5"/>
        <cfvo type="num" val="5"/>
        <color rgb="FFFF0000"/>
        <color rgb="FFFFEB84"/>
        <color rgb="FF00B050"/>
      </colorScale>
    </cfRule>
  </conditionalFormatting>
  <conditionalFormatting sqref="Q11">
    <cfRule type="colorScale" priority="28">
      <colorScale>
        <cfvo type="num" val="1"/>
        <cfvo type="num" val="2.5"/>
        <cfvo type="num" val="5"/>
        <color rgb="FFFF0000"/>
        <color rgb="FFFFEB84"/>
        <color rgb="FF00B050"/>
      </colorScale>
    </cfRule>
  </conditionalFormatting>
  <conditionalFormatting sqref="S11">
    <cfRule type="colorScale" priority="27">
      <colorScale>
        <cfvo type="num" val="1"/>
        <cfvo type="num" val="2.5"/>
        <cfvo type="num" val="5"/>
        <color rgb="FFFF0000"/>
        <color rgb="FFFFEB84"/>
        <color rgb="FF00B050"/>
      </colorScale>
    </cfRule>
  </conditionalFormatting>
  <conditionalFormatting sqref="I12">
    <cfRule type="colorScale" priority="26">
      <colorScale>
        <cfvo type="num" val="1"/>
        <cfvo type="num" val="2.5"/>
        <cfvo type="num" val="5"/>
        <color rgb="FFFF0000"/>
        <color rgb="FFFFEB84"/>
        <color rgb="FF00B050"/>
      </colorScale>
    </cfRule>
  </conditionalFormatting>
  <conditionalFormatting sqref="G9">
    <cfRule type="colorScale" priority="20">
      <colorScale>
        <cfvo type="num" val="1"/>
        <cfvo type="num" val="2.5"/>
        <cfvo type="num" val="5"/>
        <color rgb="FFFF0000"/>
        <color rgb="FFFFEB84"/>
        <color rgb="FF00B050"/>
      </colorScale>
    </cfRule>
  </conditionalFormatting>
  <conditionalFormatting sqref="K9">
    <cfRule type="colorScale" priority="19">
      <colorScale>
        <cfvo type="num" val="1"/>
        <cfvo type="num" val="2.5"/>
        <cfvo type="num" val="5"/>
        <color rgb="FFFF0000"/>
        <color rgb="FFFFEB84"/>
        <color rgb="FF00B050"/>
      </colorScale>
    </cfRule>
  </conditionalFormatting>
  <conditionalFormatting sqref="M9">
    <cfRule type="colorScale" priority="18">
      <colorScale>
        <cfvo type="num" val="1"/>
        <cfvo type="num" val="2.5"/>
        <cfvo type="num" val="5"/>
        <color rgb="FFFF0000"/>
        <color rgb="FFFFEB84"/>
        <color rgb="FF00B050"/>
      </colorScale>
    </cfRule>
  </conditionalFormatting>
  <conditionalFormatting sqref="O9">
    <cfRule type="colorScale" priority="17">
      <colorScale>
        <cfvo type="num" val="1"/>
        <cfvo type="num" val="2.5"/>
        <cfvo type="num" val="5"/>
        <color rgb="FFFF0000"/>
        <color rgb="FFFFEB84"/>
        <color rgb="FF00B050"/>
      </colorScale>
    </cfRule>
  </conditionalFormatting>
  <conditionalFormatting sqref="Q9">
    <cfRule type="colorScale" priority="16">
      <colorScale>
        <cfvo type="num" val="1"/>
        <cfvo type="num" val="2.5"/>
        <cfvo type="num" val="5"/>
        <color rgb="FFFF0000"/>
        <color rgb="FFFFEB84"/>
        <color rgb="FF00B050"/>
      </colorScale>
    </cfRule>
  </conditionalFormatting>
  <conditionalFormatting sqref="S9">
    <cfRule type="colorScale" priority="15">
      <colorScale>
        <cfvo type="num" val="1"/>
        <cfvo type="num" val="2.5"/>
        <cfvo type="num" val="5"/>
        <color rgb="FFFF0000"/>
        <color rgb="FFFFEB84"/>
        <color rgb="FF00B050"/>
      </colorScale>
    </cfRule>
  </conditionalFormatting>
  <conditionalFormatting sqref="Q10">
    <cfRule type="colorScale" priority="11">
      <colorScale>
        <cfvo type="num" val="1"/>
        <cfvo type="num" val="2.5"/>
        <cfvo type="num" val="5"/>
        <color rgb="FFFF0000"/>
        <color rgb="FFFFEB84"/>
        <color rgb="FF00B050"/>
      </colorScale>
    </cfRule>
  </conditionalFormatting>
  <conditionalFormatting sqref="G10">
    <cfRule type="colorScale" priority="10">
      <colorScale>
        <cfvo type="num" val="1"/>
        <cfvo type="num" val="2.5"/>
        <cfvo type="num" val="5"/>
        <color rgb="FFFF0000"/>
        <color rgb="FFFFEB84"/>
        <color rgb="FF00B050"/>
      </colorScale>
    </cfRule>
  </conditionalFormatting>
  <conditionalFormatting sqref="K12">
    <cfRule type="colorScale" priority="9">
      <colorScale>
        <cfvo type="num" val="1"/>
        <cfvo type="num" val="2.5"/>
        <cfvo type="num" val="5"/>
        <color rgb="FFFF0000"/>
        <color rgb="FFFFEB84"/>
        <color rgb="FF00B050"/>
      </colorScale>
    </cfRule>
  </conditionalFormatting>
  <conditionalFormatting sqref="M12">
    <cfRule type="colorScale" priority="8">
      <colorScale>
        <cfvo type="num" val="1"/>
        <cfvo type="num" val="2.5"/>
        <cfvo type="num" val="5"/>
        <color rgb="FFFF0000"/>
        <color rgb="FFFFEB84"/>
        <color rgb="FF00B050"/>
      </colorScale>
    </cfRule>
  </conditionalFormatting>
  <conditionalFormatting sqref="O12">
    <cfRule type="colorScale" priority="7">
      <colorScale>
        <cfvo type="num" val="1"/>
        <cfvo type="num" val="2.5"/>
        <cfvo type="num" val="5"/>
        <color rgb="FFFF0000"/>
        <color rgb="FFFFEB84"/>
        <color rgb="FF00B050"/>
      </colorScale>
    </cfRule>
  </conditionalFormatting>
  <conditionalFormatting sqref="Q12">
    <cfRule type="colorScale" priority="6">
      <colorScale>
        <cfvo type="num" val="1"/>
        <cfvo type="num" val="2.5"/>
        <cfvo type="num" val="5"/>
        <color rgb="FFFF0000"/>
        <color rgb="FFFFEB84"/>
        <color rgb="FF00B050"/>
      </colorScale>
    </cfRule>
  </conditionalFormatting>
  <conditionalFormatting sqref="S12">
    <cfRule type="colorScale" priority="5">
      <colorScale>
        <cfvo type="num" val="1"/>
        <cfvo type="num" val="2.5"/>
        <cfvo type="num" val="5"/>
        <color rgb="FFFF0000"/>
        <color rgb="FFFFEB84"/>
        <color rgb="FF00B050"/>
      </colorScale>
    </cfRule>
  </conditionalFormatting>
  <conditionalFormatting sqref="O10">
    <cfRule type="colorScale" priority="4">
      <colorScale>
        <cfvo type="num" val="1"/>
        <cfvo type="num" val="2.5"/>
        <cfvo type="num" val="5"/>
        <color rgb="FFFF0000"/>
        <color rgb="FFFFEB84"/>
        <color rgb="FF00B050"/>
      </colorScale>
    </cfRule>
  </conditionalFormatting>
  <conditionalFormatting sqref="M10">
    <cfRule type="colorScale" priority="3">
      <colorScale>
        <cfvo type="num" val="1"/>
        <cfvo type="num" val="2.5"/>
        <cfvo type="num" val="5"/>
        <color rgb="FFFF0000"/>
        <color rgb="FFFFEB84"/>
        <color rgb="FF00B050"/>
      </colorScale>
    </cfRule>
  </conditionalFormatting>
  <conditionalFormatting sqref="K10">
    <cfRule type="colorScale" priority="2">
      <colorScale>
        <cfvo type="num" val="1"/>
        <cfvo type="num" val="2.5"/>
        <cfvo type="num" val="5"/>
        <color rgb="FFFF0000"/>
        <color rgb="FFFFEB84"/>
        <color rgb="FF00B050"/>
      </colorScale>
    </cfRule>
  </conditionalFormatting>
  <conditionalFormatting sqref="I10">
    <cfRule type="colorScale" priority="1">
      <colorScale>
        <cfvo type="num" val="1"/>
        <cfvo type="num" val="2.5"/>
        <cfvo type="num" val="5"/>
        <color rgb="FFFF0000"/>
        <color rgb="FFFFEB84"/>
        <color rgb="FF00B050"/>
      </colorScale>
    </cfRule>
  </conditionalFormatting>
  <pageMargins left="0.7" right="0.7" top="0.75" bottom="0.75" header="0.3" footer="0.3"/>
  <pageSetup paperSize="9" scale="13" orientation="landscape"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AFC8CC-DD1F-4AAE-BA48-FB7767A1DC00}">
  <sheetPr>
    <pageSetUpPr fitToPage="1"/>
  </sheetPr>
  <dimension ref="A1:AX28"/>
  <sheetViews>
    <sheetView zoomScale="55" zoomScaleNormal="55" workbookViewId="0">
      <selection activeCell="T3" sqref="T3:Y14"/>
    </sheetView>
  </sheetViews>
  <sheetFormatPr defaultColWidth="9.109375" defaultRowHeight="13.8" x14ac:dyDescent="0.25"/>
  <cols>
    <col min="1" max="1" width="2.33203125" style="8" customWidth="1"/>
    <col min="2" max="2" width="7.44140625" style="8" customWidth="1"/>
    <col min="3" max="3" width="7.33203125" style="8" customWidth="1"/>
    <col min="4" max="4" width="4.77734375" style="8" customWidth="1"/>
    <col min="5" max="5" width="32.77734375" style="8" customWidth="1"/>
    <col min="6" max="6" width="4.77734375" style="8" customWidth="1"/>
    <col min="7" max="7" width="32.77734375" style="8" customWidth="1"/>
    <col min="8" max="8" width="7.44140625" style="8" customWidth="1"/>
    <col min="9" max="9" width="7.33203125" style="8" customWidth="1"/>
    <col min="10" max="10" width="4.77734375" style="8" customWidth="1"/>
    <col min="11" max="11" width="32.77734375" style="8" customWidth="1"/>
    <col min="12" max="12" width="4.77734375" style="8" customWidth="1"/>
    <col min="13" max="13" width="32.77734375" style="8" customWidth="1"/>
    <col min="14" max="14" width="7.44140625" style="8" customWidth="1"/>
    <col min="15" max="15" width="7.33203125" style="8" customWidth="1"/>
    <col min="16" max="16" width="4.77734375" style="8" customWidth="1"/>
    <col min="17" max="17" width="32.77734375" style="8" customWidth="1"/>
    <col min="18" max="18" width="4.77734375" style="8" customWidth="1"/>
    <col min="19" max="19" width="32.77734375" style="8" customWidth="1"/>
    <col min="20" max="20" width="7.44140625" style="8" customWidth="1"/>
    <col min="21" max="21" width="7.33203125" style="8" customWidth="1"/>
    <col min="22" max="22" width="4.77734375" style="8" customWidth="1"/>
    <col min="23" max="23" width="32.77734375" style="8" customWidth="1"/>
    <col min="24" max="24" width="4.77734375" style="8" customWidth="1"/>
    <col min="25" max="25" width="32.77734375" style="8" customWidth="1"/>
    <col min="26" max="26" width="9.109375" style="33"/>
    <col min="27" max="27" width="14.6640625" style="8" customWidth="1"/>
    <col min="28" max="28" width="12.6640625" style="8" customWidth="1"/>
    <col min="29" max="29" width="9.109375" style="8" customWidth="1"/>
    <col min="30" max="36" width="9.109375" style="8"/>
    <col min="37" max="37" width="9.109375" style="33"/>
    <col min="38" max="38" width="14.88671875" style="8" customWidth="1"/>
    <col min="39" max="39" width="15.21875" style="8" customWidth="1"/>
    <col min="40" max="40" width="15.77734375" style="8" customWidth="1"/>
    <col min="41" max="41" width="16.6640625" style="8" customWidth="1"/>
    <col min="42" max="42" width="14.5546875" style="8" customWidth="1"/>
    <col min="43" max="43" width="15.109375" style="8" customWidth="1"/>
    <col min="44" max="49" width="19.6640625" style="8" customWidth="1"/>
    <col min="50" max="54" width="9.109375" style="8"/>
    <col min="55" max="55" width="9.109375" style="8" customWidth="1"/>
    <col min="56" max="16384" width="9.109375" style="8"/>
  </cols>
  <sheetData>
    <row r="1" spans="1:50" ht="14.25" customHeight="1" x14ac:dyDescent="0.25">
      <c r="A1" s="7"/>
      <c r="B1" s="7"/>
      <c r="C1" s="7"/>
      <c r="D1" s="7"/>
      <c r="E1" s="7"/>
      <c r="F1" s="7"/>
      <c r="H1" s="7"/>
      <c r="I1" s="7"/>
      <c r="J1" s="7"/>
      <c r="K1" s="7"/>
      <c r="L1" s="7"/>
      <c r="M1" s="7"/>
      <c r="N1" s="7"/>
      <c r="O1" s="7"/>
      <c r="P1" s="7"/>
      <c r="Q1" s="7"/>
      <c r="R1" s="7"/>
      <c r="S1" s="7"/>
      <c r="T1" s="7"/>
      <c r="U1" s="7"/>
      <c r="V1" s="7"/>
      <c r="W1" s="7"/>
      <c r="X1" s="7"/>
      <c r="Y1" s="7"/>
      <c r="Z1" s="32"/>
      <c r="AA1" s="7"/>
      <c r="AB1" s="7"/>
      <c r="AC1" s="7"/>
      <c r="AD1" s="7"/>
      <c r="AE1" s="7"/>
      <c r="AF1" s="7"/>
      <c r="AG1" s="7"/>
      <c r="AH1" s="7"/>
      <c r="AI1" s="109" t="s">
        <v>131</v>
      </c>
      <c r="AJ1" s="109"/>
      <c r="AK1" s="32"/>
      <c r="AL1" s="7"/>
      <c r="AM1" s="7"/>
      <c r="AN1" s="7"/>
      <c r="AO1" s="7"/>
      <c r="AP1" s="7"/>
      <c r="AQ1" s="7"/>
      <c r="AR1" s="7"/>
      <c r="AS1" s="7"/>
      <c r="AT1" s="7"/>
      <c r="AU1" s="7"/>
      <c r="AV1" s="7"/>
    </row>
    <row r="2" spans="1:50" ht="16.2" thickBot="1" x14ac:dyDescent="0.35">
      <c r="A2" s="7"/>
      <c r="B2" s="15" t="s">
        <v>0</v>
      </c>
      <c r="C2" s="7"/>
      <c r="D2" s="7"/>
      <c r="E2" s="7"/>
      <c r="F2" s="7"/>
      <c r="G2" s="7"/>
      <c r="H2" s="15" t="s">
        <v>0</v>
      </c>
      <c r="I2" s="7"/>
      <c r="J2" s="7"/>
      <c r="K2" s="7"/>
      <c r="L2" s="7"/>
      <c r="M2" s="7"/>
      <c r="N2" s="15" t="s">
        <v>0</v>
      </c>
      <c r="O2" s="7"/>
      <c r="P2" s="7"/>
      <c r="Q2" s="7"/>
      <c r="R2" s="7"/>
      <c r="S2" s="7"/>
      <c r="T2" s="15" t="s">
        <v>0</v>
      </c>
      <c r="U2" s="7"/>
      <c r="V2" s="7"/>
      <c r="W2" s="7"/>
      <c r="X2" s="7"/>
      <c r="Y2" s="7"/>
      <c r="Z2" s="32"/>
      <c r="AA2" s="15" t="s">
        <v>1</v>
      </c>
      <c r="AB2" s="7"/>
      <c r="AC2" s="7"/>
      <c r="AD2" s="7"/>
      <c r="AE2" s="7"/>
      <c r="AF2" s="7"/>
      <c r="AG2" s="7"/>
      <c r="AH2" s="7"/>
      <c r="AI2" s="110" t="s">
        <v>132</v>
      </c>
      <c r="AJ2" s="110"/>
      <c r="AK2" s="32"/>
      <c r="AL2" s="15" t="s">
        <v>2</v>
      </c>
      <c r="AM2" s="7"/>
      <c r="AN2" s="7"/>
      <c r="AO2" s="7"/>
      <c r="AP2" s="7"/>
      <c r="AQ2" s="7"/>
      <c r="AR2" s="7"/>
      <c r="AS2" s="7"/>
      <c r="AT2" s="7"/>
      <c r="AU2" s="7"/>
      <c r="AV2" s="7"/>
    </row>
    <row r="3" spans="1:50" ht="14.4" customHeight="1" x14ac:dyDescent="0.25">
      <c r="A3" s="7"/>
      <c r="B3" s="397" t="s">
        <v>3</v>
      </c>
      <c r="C3" s="395" t="s">
        <v>4</v>
      </c>
      <c r="D3" s="395" t="s">
        <v>5</v>
      </c>
      <c r="E3" s="395"/>
      <c r="F3" s="395" t="s">
        <v>6</v>
      </c>
      <c r="G3" s="396"/>
      <c r="H3" s="397" t="s">
        <v>3</v>
      </c>
      <c r="I3" s="395" t="s">
        <v>4</v>
      </c>
      <c r="J3" s="395" t="s">
        <v>7</v>
      </c>
      <c r="K3" s="395"/>
      <c r="L3" s="395" t="s">
        <v>8</v>
      </c>
      <c r="M3" s="396"/>
      <c r="N3" s="397" t="s">
        <v>3</v>
      </c>
      <c r="O3" s="395" t="s">
        <v>4</v>
      </c>
      <c r="P3" s="395" t="s">
        <v>9</v>
      </c>
      <c r="Q3" s="395"/>
      <c r="R3" s="395" t="s">
        <v>10</v>
      </c>
      <c r="S3" s="396"/>
      <c r="T3" s="397" t="s">
        <v>3</v>
      </c>
      <c r="U3" s="395" t="s">
        <v>4</v>
      </c>
      <c r="V3" s="395" t="s">
        <v>11</v>
      </c>
      <c r="W3" s="395"/>
      <c r="X3" s="395" t="s">
        <v>12</v>
      </c>
      <c r="Y3" s="396"/>
      <c r="Z3" s="32"/>
      <c r="AA3" s="380" t="s">
        <v>3</v>
      </c>
      <c r="AB3" s="382" t="s">
        <v>13</v>
      </c>
      <c r="AC3" s="386" t="s">
        <v>14</v>
      </c>
      <c r="AD3" s="387"/>
      <c r="AE3" s="387"/>
      <c r="AF3" s="387"/>
      <c r="AG3" s="387"/>
      <c r="AH3" s="387"/>
      <c r="AI3" s="387"/>
      <c r="AJ3" s="388"/>
      <c r="AK3" s="32"/>
      <c r="AL3" s="371"/>
      <c r="AM3" s="354" t="s">
        <v>15</v>
      </c>
      <c r="AN3" s="354" t="s">
        <v>16</v>
      </c>
      <c r="AO3" s="354" t="s">
        <v>17</v>
      </c>
      <c r="AP3" s="354" t="s">
        <v>18</v>
      </c>
      <c r="AQ3" s="354" t="s">
        <v>19</v>
      </c>
      <c r="AR3" s="354" t="s">
        <v>20</v>
      </c>
      <c r="AS3" s="354" t="s">
        <v>21</v>
      </c>
      <c r="AT3" s="354" t="s">
        <v>22</v>
      </c>
      <c r="AU3" s="354" t="s">
        <v>23</v>
      </c>
      <c r="AV3" s="356" t="s">
        <v>24</v>
      </c>
      <c r="AW3" s="358" t="s">
        <v>25</v>
      </c>
      <c r="AX3" s="7"/>
    </row>
    <row r="4" spans="1:50" ht="35.4" customHeight="1" thickBot="1" x14ac:dyDescent="0.3">
      <c r="A4" s="9"/>
      <c r="B4" s="398"/>
      <c r="C4" s="399"/>
      <c r="D4" s="164" t="s">
        <v>14</v>
      </c>
      <c r="E4" s="164" t="s">
        <v>26</v>
      </c>
      <c r="F4" s="164" t="s">
        <v>14</v>
      </c>
      <c r="G4" s="165" t="s">
        <v>26</v>
      </c>
      <c r="H4" s="398"/>
      <c r="I4" s="399"/>
      <c r="J4" s="164" t="s">
        <v>14</v>
      </c>
      <c r="K4" s="164" t="s">
        <v>26</v>
      </c>
      <c r="L4" s="164" t="s">
        <v>14</v>
      </c>
      <c r="M4" s="165" t="s">
        <v>26</v>
      </c>
      <c r="N4" s="398"/>
      <c r="O4" s="399"/>
      <c r="P4" s="164" t="s">
        <v>14</v>
      </c>
      <c r="Q4" s="164" t="s">
        <v>26</v>
      </c>
      <c r="R4" s="164" t="s">
        <v>14</v>
      </c>
      <c r="S4" s="165" t="s">
        <v>26</v>
      </c>
      <c r="T4" s="398"/>
      <c r="U4" s="399"/>
      <c r="V4" s="164" t="s">
        <v>14</v>
      </c>
      <c r="W4" s="164" t="s">
        <v>26</v>
      </c>
      <c r="X4" s="164" t="s">
        <v>14</v>
      </c>
      <c r="Y4" s="165" t="s">
        <v>26</v>
      </c>
      <c r="Z4" s="32"/>
      <c r="AA4" s="381"/>
      <c r="AB4" s="383"/>
      <c r="AC4" s="93" t="s">
        <v>5</v>
      </c>
      <c r="AD4" s="94" t="s">
        <v>6</v>
      </c>
      <c r="AE4" s="94" t="s">
        <v>7</v>
      </c>
      <c r="AF4" s="94" t="s">
        <v>8</v>
      </c>
      <c r="AG4" s="94" t="s">
        <v>27</v>
      </c>
      <c r="AH4" s="94" t="s">
        <v>28</v>
      </c>
      <c r="AI4" s="94" t="s">
        <v>29</v>
      </c>
      <c r="AJ4" s="95" t="s">
        <v>30</v>
      </c>
      <c r="AK4" s="32"/>
      <c r="AL4" s="372"/>
      <c r="AM4" s="355"/>
      <c r="AN4" s="355"/>
      <c r="AO4" s="355"/>
      <c r="AP4" s="355"/>
      <c r="AQ4" s="355"/>
      <c r="AR4" s="355"/>
      <c r="AS4" s="355"/>
      <c r="AT4" s="355"/>
      <c r="AU4" s="355"/>
      <c r="AV4" s="357"/>
      <c r="AW4" s="359"/>
      <c r="AX4" s="9"/>
    </row>
    <row r="5" spans="1:50" ht="39" customHeight="1" x14ac:dyDescent="0.25">
      <c r="A5" s="7"/>
      <c r="B5" s="154" t="s">
        <v>15</v>
      </c>
      <c r="C5" s="155">
        <f t="shared" ref="C5:D12" si="0">AB5</f>
        <v>9.7222222222222224E-2</v>
      </c>
      <c r="D5" s="156">
        <f t="shared" si="0"/>
        <v>4</v>
      </c>
      <c r="E5" s="157" t="s">
        <v>31</v>
      </c>
      <c r="F5" s="156">
        <f t="shared" ref="F5:F12" si="1">AD5</f>
        <v>4</v>
      </c>
      <c r="G5" s="158" t="s">
        <v>31</v>
      </c>
      <c r="H5" s="154" t="s">
        <v>15</v>
      </c>
      <c r="I5" s="155">
        <f t="shared" ref="I5:I12" si="2">AH5</f>
        <v>4</v>
      </c>
      <c r="J5" s="156">
        <f t="shared" ref="J5:J12" si="3">AE5</f>
        <v>4</v>
      </c>
      <c r="K5" s="157" t="s">
        <v>31</v>
      </c>
      <c r="L5" s="156">
        <f t="shared" ref="L5:L12" si="4">AF5</f>
        <v>4</v>
      </c>
      <c r="M5" s="158" t="s">
        <v>31</v>
      </c>
      <c r="N5" s="154" t="s">
        <v>15</v>
      </c>
      <c r="O5" s="155">
        <f t="shared" ref="O5:O12" si="5">AN5</f>
        <v>2</v>
      </c>
      <c r="P5" s="156">
        <f>AG5</f>
        <v>4</v>
      </c>
      <c r="Q5" s="157" t="s">
        <v>31</v>
      </c>
      <c r="R5" s="156">
        <f>AH5</f>
        <v>4</v>
      </c>
      <c r="S5" s="158" t="s">
        <v>31</v>
      </c>
      <c r="T5" s="154" t="s">
        <v>15</v>
      </c>
      <c r="U5" s="155">
        <f t="shared" ref="U5:U12" si="6">AT5</f>
        <v>0</v>
      </c>
      <c r="V5" s="156">
        <f>AI5</f>
        <v>4</v>
      </c>
      <c r="W5" s="157" t="s">
        <v>31</v>
      </c>
      <c r="X5" s="156">
        <f>AJ5</f>
        <v>4</v>
      </c>
      <c r="Y5" s="158" t="s">
        <v>31</v>
      </c>
      <c r="Z5" s="32"/>
      <c r="AA5" s="88" t="s">
        <v>15</v>
      </c>
      <c r="AB5" s="89">
        <f t="shared" ref="AB5:AB13" si="7">AW5</f>
        <v>9.7222222222222224E-2</v>
      </c>
      <c r="AC5" s="90">
        <v>4</v>
      </c>
      <c r="AD5" s="91">
        <v>4</v>
      </c>
      <c r="AE5" s="91">
        <v>4</v>
      </c>
      <c r="AF5" s="91">
        <v>4</v>
      </c>
      <c r="AG5" s="91">
        <v>4</v>
      </c>
      <c r="AH5" s="91">
        <v>4</v>
      </c>
      <c r="AI5" s="91">
        <v>4</v>
      </c>
      <c r="AJ5" s="92">
        <v>4</v>
      </c>
      <c r="AK5" s="32"/>
      <c r="AL5" s="18" t="s">
        <v>15</v>
      </c>
      <c r="AM5" s="25"/>
      <c r="AN5" s="96">
        <v>2</v>
      </c>
      <c r="AO5" s="96">
        <v>1</v>
      </c>
      <c r="AP5" s="96">
        <v>2</v>
      </c>
      <c r="AQ5" s="96">
        <v>0</v>
      </c>
      <c r="AR5" s="96">
        <v>1</v>
      </c>
      <c r="AS5" s="96">
        <v>0</v>
      </c>
      <c r="AT5" s="96">
        <v>0</v>
      </c>
      <c r="AU5" s="97">
        <v>1</v>
      </c>
      <c r="AV5" s="16">
        <f t="shared" ref="AV5:AV13" si="8">SUM(AM5:AU5)</f>
        <v>7</v>
      </c>
      <c r="AW5" s="26">
        <f t="shared" ref="AW5:AW13" si="9">AV5/$AV$14</f>
        <v>9.7222222222222224E-2</v>
      </c>
      <c r="AX5" s="7"/>
    </row>
    <row r="6" spans="1:50" ht="70.2" x14ac:dyDescent="0.25">
      <c r="A6" s="7"/>
      <c r="B6" s="154" t="s">
        <v>16</v>
      </c>
      <c r="C6" s="155">
        <f t="shared" si="0"/>
        <v>5.5555555555555552E-2</v>
      </c>
      <c r="D6" s="156">
        <f t="shared" si="0"/>
        <v>4</v>
      </c>
      <c r="E6" s="157" t="s">
        <v>32</v>
      </c>
      <c r="F6" s="156">
        <f t="shared" si="1"/>
        <v>3</v>
      </c>
      <c r="G6" s="158" t="s">
        <v>33</v>
      </c>
      <c r="H6" s="154" t="s">
        <v>16</v>
      </c>
      <c r="I6" s="155">
        <f t="shared" si="2"/>
        <v>4</v>
      </c>
      <c r="J6" s="156">
        <f t="shared" si="3"/>
        <v>5</v>
      </c>
      <c r="K6" s="157" t="s">
        <v>136</v>
      </c>
      <c r="L6" s="156">
        <f t="shared" si="4"/>
        <v>4</v>
      </c>
      <c r="M6" s="158" t="s">
        <v>34</v>
      </c>
      <c r="N6" s="154" t="s">
        <v>16</v>
      </c>
      <c r="O6" s="155">
        <f t="shared" si="5"/>
        <v>0</v>
      </c>
      <c r="P6" s="156">
        <f t="shared" ref="P6:P12" si="10">AG6</f>
        <v>5</v>
      </c>
      <c r="Q6" s="157" t="s">
        <v>35</v>
      </c>
      <c r="R6" s="156">
        <f>AH6</f>
        <v>4</v>
      </c>
      <c r="S6" s="158" t="s">
        <v>36</v>
      </c>
      <c r="T6" s="154" t="s">
        <v>16</v>
      </c>
      <c r="U6" s="155">
        <f t="shared" si="6"/>
        <v>0</v>
      </c>
      <c r="V6" s="156">
        <f t="shared" ref="V6:V13" si="11">AI6</f>
        <v>5</v>
      </c>
      <c r="W6" s="157" t="s">
        <v>37</v>
      </c>
      <c r="X6" s="156">
        <f t="shared" ref="X6:X13" si="12">AJ6</f>
        <v>4</v>
      </c>
      <c r="Y6" s="158" t="s">
        <v>38</v>
      </c>
      <c r="Z6" s="32"/>
      <c r="AA6" s="12" t="s">
        <v>16</v>
      </c>
      <c r="AB6" s="85">
        <f t="shared" si="7"/>
        <v>5.5555555555555552E-2</v>
      </c>
      <c r="AC6" s="82">
        <v>4</v>
      </c>
      <c r="AD6" s="37">
        <v>3</v>
      </c>
      <c r="AE6" s="37">
        <v>5</v>
      </c>
      <c r="AF6" s="37">
        <v>4</v>
      </c>
      <c r="AG6" s="37">
        <v>5</v>
      </c>
      <c r="AH6" s="37">
        <v>4</v>
      </c>
      <c r="AI6" s="37">
        <v>5</v>
      </c>
      <c r="AJ6" s="69">
        <v>4</v>
      </c>
      <c r="AK6" s="32"/>
      <c r="AL6" s="19" t="s">
        <v>16</v>
      </c>
      <c r="AM6" s="98">
        <v>0</v>
      </c>
      <c r="AN6" s="27"/>
      <c r="AO6" s="98">
        <v>1</v>
      </c>
      <c r="AP6" s="98">
        <v>1</v>
      </c>
      <c r="AQ6" s="98">
        <v>0</v>
      </c>
      <c r="AR6" s="98">
        <v>1</v>
      </c>
      <c r="AS6" s="98">
        <v>0</v>
      </c>
      <c r="AT6" s="98">
        <v>0</v>
      </c>
      <c r="AU6" s="99">
        <v>1</v>
      </c>
      <c r="AV6" s="17">
        <f t="shared" si="8"/>
        <v>4</v>
      </c>
      <c r="AW6" s="28">
        <f t="shared" si="9"/>
        <v>5.5555555555555552E-2</v>
      </c>
      <c r="AX6" s="7"/>
    </row>
    <row r="7" spans="1:50" ht="56.4" customHeight="1" x14ac:dyDescent="0.25">
      <c r="A7" s="7"/>
      <c r="B7" s="154" t="s">
        <v>39</v>
      </c>
      <c r="C7" s="155">
        <f t="shared" si="0"/>
        <v>6.9444444444444448E-2</v>
      </c>
      <c r="D7" s="156">
        <f t="shared" si="0"/>
        <v>4</v>
      </c>
      <c r="E7" s="157" t="s">
        <v>40</v>
      </c>
      <c r="F7" s="156">
        <f t="shared" si="1"/>
        <v>4</v>
      </c>
      <c r="G7" s="158" t="s">
        <v>40</v>
      </c>
      <c r="H7" s="154" t="s">
        <v>39</v>
      </c>
      <c r="I7" s="155">
        <f t="shared" si="2"/>
        <v>3</v>
      </c>
      <c r="J7" s="156">
        <f t="shared" si="3"/>
        <v>3</v>
      </c>
      <c r="K7" s="157" t="s">
        <v>41</v>
      </c>
      <c r="L7" s="156">
        <f t="shared" si="4"/>
        <v>3</v>
      </c>
      <c r="M7" s="158" t="s">
        <v>41</v>
      </c>
      <c r="N7" s="154" t="s">
        <v>39</v>
      </c>
      <c r="O7" s="155">
        <f t="shared" si="5"/>
        <v>1</v>
      </c>
      <c r="P7" s="156">
        <f t="shared" si="10"/>
        <v>3</v>
      </c>
      <c r="Q7" s="157" t="s">
        <v>41</v>
      </c>
      <c r="R7" s="156">
        <f>AH7</f>
        <v>3</v>
      </c>
      <c r="S7" s="158" t="s">
        <v>41</v>
      </c>
      <c r="T7" s="154" t="s">
        <v>39</v>
      </c>
      <c r="U7" s="155">
        <f t="shared" si="6"/>
        <v>0</v>
      </c>
      <c r="V7" s="156">
        <f t="shared" si="11"/>
        <v>3</v>
      </c>
      <c r="W7" s="157" t="s">
        <v>41</v>
      </c>
      <c r="X7" s="156">
        <f t="shared" si="12"/>
        <v>3</v>
      </c>
      <c r="Y7" s="158" t="s">
        <v>41</v>
      </c>
      <c r="Z7" s="32"/>
      <c r="AA7" s="34" t="s">
        <v>39</v>
      </c>
      <c r="AB7" s="85">
        <f t="shared" si="7"/>
        <v>6.9444444444444448E-2</v>
      </c>
      <c r="AC7" s="81">
        <v>4</v>
      </c>
      <c r="AD7" s="11">
        <v>4</v>
      </c>
      <c r="AE7" s="11">
        <v>3</v>
      </c>
      <c r="AF7" s="11">
        <v>3</v>
      </c>
      <c r="AG7" s="11">
        <v>3</v>
      </c>
      <c r="AH7" s="11">
        <v>3</v>
      </c>
      <c r="AI7" s="11">
        <v>3</v>
      </c>
      <c r="AJ7" s="13">
        <v>3</v>
      </c>
      <c r="AK7" s="32"/>
      <c r="AL7" s="19" t="s">
        <v>42</v>
      </c>
      <c r="AM7" s="98">
        <v>1</v>
      </c>
      <c r="AN7" s="98">
        <v>1</v>
      </c>
      <c r="AO7" s="27"/>
      <c r="AP7" s="98">
        <v>1</v>
      </c>
      <c r="AQ7" s="98">
        <v>0</v>
      </c>
      <c r="AR7" s="98">
        <v>1</v>
      </c>
      <c r="AS7" s="98">
        <v>0</v>
      </c>
      <c r="AT7" s="98">
        <v>0</v>
      </c>
      <c r="AU7" s="99">
        <v>1</v>
      </c>
      <c r="AV7" s="17">
        <f t="shared" si="8"/>
        <v>5</v>
      </c>
      <c r="AW7" s="28">
        <f t="shared" si="9"/>
        <v>6.9444444444444448E-2</v>
      </c>
      <c r="AX7" s="7"/>
    </row>
    <row r="8" spans="1:50" ht="64.2" customHeight="1" x14ac:dyDescent="0.25">
      <c r="A8" s="7"/>
      <c r="B8" s="154" t="s">
        <v>18</v>
      </c>
      <c r="C8" s="155">
        <f t="shared" si="0"/>
        <v>5.5555555555555552E-2</v>
      </c>
      <c r="D8" s="156">
        <f t="shared" si="0"/>
        <v>4</v>
      </c>
      <c r="E8" s="157" t="s">
        <v>43</v>
      </c>
      <c r="F8" s="156">
        <f t="shared" si="1"/>
        <v>4</v>
      </c>
      <c r="G8" s="158" t="s">
        <v>43</v>
      </c>
      <c r="H8" s="154" t="s">
        <v>18</v>
      </c>
      <c r="I8" s="155">
        <f t="shared" si="2"/>
        <v>3</v>
      </c>
      <c r="J8" s="156">
        <f t="shared" si="3"/>
        <v>3</v>
      </c>
      <c r="K8" s="157" t="s">
        <v>44</v>
      </c>
      <c r="L8" s="156">
        <f t="shared" si="4"/>
        <v>3</v>
      </c>
      <c r="M8" s="158" t="s">
        <v>44</v>
      </c>
      <c r="N8" s="154" t="s">
        <v>18</v>
      </c>
      <c r="O8" s="155">
        <f t="shared" si="5"/>
        <v>1</v>
      </c>
      <c r="P8" s="156">
        <f t="shared" si="10"/>
        <v>3</v>
      </c>
      <c r="Q8" s="157" t="s">
        <v>44</v>
      </c>
      <c r="R8" s="156">
        <f>AH8</f>
        <v>3</v>
      </c>
      <c r="S8" s="158" t="s">
        <v>44</v>
      </c>
      <c r="T8" s="154" t="s">
        <v>18</v>
      </c>
      <c r="U8" s="155">
        <f t="shared" si="6"/>
        <v>0</v>
      </c>
      <c r="V8" s="156">
        <f t="shared" si="11"/>
        <v>3</v>
      </c>
      <c r="W8" s="157" t="s">
        <v>44</v>
      </c>
      <c r="X8" s="156">
        <f t="shared" si="12"/>
        <v>3</v>
      </c>
      <c r="Y8" s="158" t="s">
        <v>44</v>
      </c>
      <c r="Z8" s="32"/>
      <c r="AA8" s="34" t="s">
        <v>18</v>
      </c>
      <c r="AB8" s="85">
        <f t="shared" si="7"/>
        <v>5.5555555555555552E-2</v>
      </c>
      <c r="AC8" s="81">
        <v>4</v>
      </c>
      <c r="AD8" s="11">
        <v>4</v>
      </c>
      <c r="AE8" s="11">
        <v>3</v>
      </c>
      <c r="AF8" s="11">
        <v>3</v>
      </c>
      <c r="AG8" s="11">
        <v>3</v>
      </c>
      <c r="AH8" s="11">
        <v>3</v>
      </c>
      <c r="AI8" s="11">
        <v>3</v>
      </c>
      <c r="AJ8" s="13">
        <v>3</v>
      </c>
      <c r="AK8" s="32"/>
      <c r="AL8" s="19" t="s">
        <v>18</v>
      </c>
      <c r="AM8" s="98">
        <v>0</v>
      </c>
      <c r="AN8" s="98">
        <v>1</v>
      </c>
      <c r="AO8" s="98">
        <v>1</v>
      </c>
      <c r="AP8" s="27"/>
      <c r="AQ8" s="98">
        <v>0</v>
      </c>
      <c r="AR8" s="98">
        <v>1</v>
      </c>
      <c r="AS8" s="98">
        <v>0</v>
      </c>
      <c r="AT8" s="98">
        <v>0</v>
      </c>
      <c r="AU8" s="99">
        <v>1</v>
      </c>
      <c r="AV8" s="17">
        <f t="shared" si="8"/>
        <v>4</v>
      </c>
      <c r="AW8" s="28">
        <f t="shared" si="9"/>
        <v>5.5555555555555552E-2</v>
      </c>
      <c r="AX8" s="7"/>
    </row>
    <row r="9" spans="1:50" ht="31.2" x14ac:dyDescent="0.25">
      <c r="A9" s="7"/>
      <c r="B9" s="154" t="s">
        <v>19</v>
      </c>
      <c r="C9" s="155">
        <f t="shared" si="0"/>
        <v>0.18055555555555555</v>
      </c>
      <c r="D9" s="156">
        <f t="shared" si="0"/>
        <v>5</v>
      </c>
      <c r="E9" s="157" t="s">
        <v>45</v>
      </c>
      <c r="F9" s="159">
        <f t="shared" si="1"/>
        <v>5</v>
      </c>
      <c r="G9" s="158" t="s">
        <v>45</v>
      </c>
      <c r="H9" s="154" t="s">
        <v>19</v>
      </c>
      <c r="I9" s="155">
        <f t="shared" si="2"/>
        <v>4</v>
      </c>
      <c r="J9" s="159">
        <f t="shared" si="3"/>
        <v>4</v>
      </c>
      <c r="K9" s="157" t="s">
        <v>46</v>
      </c>
      <c r="L9" s="159">
        <f t="shared" si="4"/>
        <v>4</v>
      </c>
      <c r="M9" s="158" t="s">
        <v>46</v>
      </c>
      <c r="N9" s="154" t="s">
        <v>19</v>
      </c>
      <c r="O9" s="155">
        <f t="shared" si="5"/>
        <v>2</v>
      </c>
      <c r="P9" s="159">
        <f t="shared" si="10"/>
        <v>4</v>
      </c>
      <c r="Q9" s="157" t="s">
        <v>46</v>
      </c>
      <c r="R9" s="159">
        <f t="shared" ref="R9:R12" si="13">AH9</f>
        <v>4</v>
      </c>
      <c r="S9" s="158" t="s">
        <v>46</v>
      </c>
      <c r="T9" s="154" t="s">
        <v>19</v>
      </c>
      <c r="U9" s="155">
        <f t="shared" si="6"/>
        <v>1</v>
      </c>
      <c r="V9" s="156">
        <f t="shared" si="11"/>
        <v>4</v>
      </c>
      <c r="W9" s="157" t="s">
        <v>46</v>
      </c>
      <c r="X9" s="156">
        <f t="shared" si="12"/>
        <v>4</v>
      </c>
      <c r="Y9" s="158" t="s">
        <v>46</v>
      </c>
      <c r="Z9" s="32"/>
      <c r="AA9" s="107" t="s">
        <v>19</v>
      </c>
      <c r="AB9" s="108">
        <f t="shared" si="7"/>
        <v>0.18055555555555555</v>
      </c>
      <c r="AC9" s="81">
        <v>5</v>
      </c>
      <c r="AD9" s="11">
        <v>5</v>
      </c>
      <c r="AE9" s="11">
        <v>4</v>
      </c>
      <c r="AF9" s="11">
        <v>4</v>
      </c>
      <c r="AG9" s="11">
        <v>4</v>
      </c>
      <c r="AH9" s="11">
        <v>4</v>
      </c>
      <c r="AI9" s="11">
        <v>4</v>
      </c>
      <c r="AJ9" s="13">
        <v>4</v>
      </c>
      <c r="AK9" s="32"/>
      <c r="AL9" s="19" t="s">
        <v>19</v>
      </c>
      <c r="AM9" s="98">
        <v>2</v>
      </c>
      <c r="AN9" s="98">
        <v>2</v>
      </c>
      <c r="AO9" s="98">
        <v>2</v>
      </c>
      <c r="AP9" s="98">
        <v>2</v>
      </c>
      <c r="AQ9" s="27"/>
      <c r="AR9" s="98">
        <v>2</v>
      </c>
      <c r="AS9" s="98">
        <v>1</v>
      </c>
      <c r="AT9" s="98">
        <v>1</v>
      </c>
      <c r="AU9" s="99">
        <v>1</v>
      </c>
      <c r="AV9" s="17">
        <f t="shared" si="8"/>
        <v>13</v>
      </c>
      <c r="AW9" s="28">
        <f t="shared" si="9"/>
        <v>0.18055555555555555</v>
      </c>
      <c r="AX9" s="7"/>
    </row>
    <row r="10" spans="1:50" ht="27.6" x14ac:dyDescent="0.25">
      <c r="A10" s="7"/>
      <c r="B10" s="160" t="s">
        <v>20</v>
      </c>
      <c r="C10" s="161">
        <f t="shared" si="0"/>
        <v>6.9444444444444448E-2</v>
      </c>
      <c r="D10" s="156">
        <f t="shared" si="0"/>
        <v>3</v>
      </c>
      <c r="E10" s="157" t="s">
        <v>133</v>
      </c>
      <c r="F10" s="156">
        <f t="shared" si="1"/>
        <v>3</v>
      </c>
      <c r="G10" s="158" t="s">
        <v>133</v>
      </c>
      <c r="H10" s="160" t="s">
        <v>20</v>
      </c>
      <c r="I10" s="161">
        <f t="shared" si="2"/>
        <v>4</v>
      </c>
      <c r="J10" s="156">
        <f t="shared" si="3"/>
        <v>4</v>
      </c>
      <c r="K10" s="157" t="s">
        <v>135</v>
      </c>
      <c r="L10" s="156">
        <f t="shared" si="4"/>
        <v>4</v>
      </c>
      <c r="M10" s="158" t="s">
        <v>135</v>
      </c>
      <c r="N10" s="160" t="s">
        <v>20</v>
      </c>
      <c r="O10" s="161">
        <f t="shared" si="5"/>
        <v>1</v>
      </c>
      <c r="P10" s="156">
        <f t="shared" si="10"/>
        <v>4</v>
      </c>
      <c r="Q10" s="157" t="s">
        <v>135</v>
      </c>
      <c r="R10" s="156">
        <f t="shared" si="13"/>
        <v>4</v>
      </c>
      <c r="S10" s="158" t="s">
        <v>135</v>
      </c>
      <c r="T10" s="160" t="s">
        <v>20</v>
      </c>
      <c r="U10" s="161">
        <f t="shared" si="6"/>
        <v>0</v>
      </c>
      <c r="V10" s="156">
        <f t="shared" si="11"/>
        <v>4</v>
      </c>
      <c r="W10" s="157" t="s">
        <v>135</v>
      </c>
      <c r="X10" s="156">
        <f t="shared" si="12"/>
        <v>4</v>
      </c>
      <c r="Y10" s="158" t="s">
        <v>135</v>
      </c>
      <c r="Z10" s="32"/>
      <c r="AA10" s="111" t="s">
        <v>20</v>
      </c>
      <c r="AB10" s="112">
        <f t="shared" si="7"/>
        <v>6.9444444444444448E-2</v>
      </c>
      <c r="AC10" s="81">
        <v>3</v>
      </c>
      <c r="AD10" s="11">
        <v>3</v>
      </c>
      <c r="AE10" s="11">
        <v>4</v>
      </c>
      <c r="AF10" s="11">
        <v>4</v>
      </c>
      <c r="AG10" s="11">
        <v>4</v>
      </c>
      <c r="AH10" s="11">
        <v>4</v>
      </c>
      <c r="AI10" s="11">
        <v>4</v>
      </c>
      <c r="AJ10" s="13">
        <v>4</v>
      </c>
      <c r="AK10" s="32"/>
      <c r="AL10" s="19" t="s">
        <v>20</v>
      </c>
      <c r="AM10" s="98">
        <v>1</v>
      </c>
      <c r="AN10" s="98">
        <v>1</v>
      </c>
      <c r="AO10" s="98">
        <v>1</v>
      </c>
      <c r="AP10" s="98">
        <v>1</v>
      </c>
      <c r="AQ10" s="98">
        <v>0</v>
      </c>
      <c r="AR10" s="27"/>
      <c r="AS10" s="98">
        <v>0</v>
      </c>
      <c r="AT10" s="98">
        <v>0</v>
      </c>
      <c r="AU10" s="99">
        <v>1</v>
      </c>
      <c r="AV10" s="17">
        <f t="shared" si="8"/>
        <v>5</v>
      </c>
      <c r="AW10" s="28">
        <f t="shared" si="9"/>
        <v>6.9444444444444448E-2</v>
      </c>
      <c r="AX10" s="7"/>
    </row>
    <row r="11" spans="1:50" ht="26.4" customHeight="1" x14ac:dyDescent="0.25">
      <c r="A11" s="7"/>
      <c r="B11" s="154" t="s">
        <v>21</v>
      </c>
      <c r="C11" s="155">
        <f t="shared" si="0"/>
        <v>0.18055555555555555</v>
      </c>
      <c r="D11" s="156">
        <f t="shared" si="0"/>
        <v>1</v>
      </c>
      <c r="E11" s="157" t="s">
        <v>47</v>
      </c>
      <c r="F11" s="156">
        <f t="shared" si="1"/>
        <v>1</v>
      </c>
      <c r="G11" s="158" t="s">
        <v>47</v>
      </c>
      <c r="H11" s="154" t="s">
        <v>21</v>
      </c>
      <c r="I11" s="155">
        <f t="shared" si="2"/>
        <v>2</v>
      </c>
      <c r="J11" s="156">
        <f t="shared" si="3"/>
        <v>3</v>
      </c>
      <c r="K11" s="157" t="s">
        <v>48</v>
      </c>
      <c r="L11" s="156">
        <f t="shared" si="4"/>
        <v>3</v>
      </c>
      <c r="M11" s="158" t="s">
        <v>48</v>
      </c>
      <c r="N11" s="154" t="s">
        <v>21</v>
      </c>
      <c r="O11" s="155">
        <f t="shared" si="5"/>
        <v>2</v>
      </c>
      <c r="P11" s="156">
        <f t="shared" si="10"/>
        <v>3</v>
      </c>
      <c r="Q11" s="157" t="s">
        <v>48</v>
      </c>
      <c r="R11" s="156">
        <f t="shared" si="13"/>
        <v>2</v>
      </c>
      <c r="S11" s="158" t="s">
        <v>49</v>
      </c>
      <c r="T11" s="154" t="s">
        <v>21</v>
      </c>
      <c r="U11" s="155">
        <f t="shared" si="6"/>
        <v>1</v>
      </c>
      <c r="V11" s="156">
        <f t="shared" si="11"/>
        <v>2</v>
      </c>
      <c r="W11" s="157" t="s">
        <v>50</v>
      </c>
      <c r="X11" s="156">
        <f t="shared" si="12"/>
        <v>2</v>
      </c>
      <c r="Y11" s="158" t="s">
        <v>49</v>
      </c>
      <c r="Z11" s="32"/>
      <c r="AA11" s="107" t="s">
        <v>21</v>
      </c>
      <c r="AB11" s="108">
        <f t="shared" si="7"/>
        <v>0.18055555555555555</v>
      </c>
      <c r="AC11" s="81">
        <v>1</v>
      </c>
      <c r="AD11" s="11">
        <v>1</v>
      </c>
      <c r="AE11" s="11">
        <v>3</v>
      </c>
      <c r="AF11" s="11">
        <v>3</v>
      </c>
      <c r="AG11" s="11">
        <v>3</v>
      </c>
      <c r="AH11" s="11">
        <v>2</v>
      </c>
      <c r="AI11" s="11">
        <v>2</v>
      </c>
      <c r="AJ11" s="13">
        <v>2</v>
      </c>
      <c r="AK11" s="32"/>
      <c r="AL11" s="19" t="s">
        <v>21</v>
      </c>
      <c r="AM11" s="98">
        <v>2</v>
      </c>
      <c r="AN11" s="98">
        <v>2</v>
      </c>
      <c r="AO11" s="98">
        <v>2</v>
      </c>
      <c r="AP11" s="98">
        <v>2</v>
      </c>
      <c r="AQ11" s="98">
        <v>1</v>
      </c>
      <c r="AR11" s="98">
        <v>2</v>
      </c>
      <c r="AS11" s="27"/>
      <c r="AT11" s="98">
        <v>1</v>
      </c>
      <c r="AU11" s="99">
        <v>1</v>
      </c>
      <c r="AV11" s="17">
        <f t="shared" si="8"/>
        <v>13</v>
      </c>
      <c r="AW11" s="28">
        <f t="shared" si="9"/>
        <v>0.18055555555555555</v>
      </c>
      <c r="AX11" s="7"/>
    </row>
    <row r="12" spans="1:50" ht="48.6" customHeight="1" x14ac:dyDescent="0.25">
      <c r="A12" s="7"/>
      <c r="B12" s="154" t="s">
        <v>22</v>
      </c>
      <c r="C12" s="155">
        <f t="shared" si="0"/>
        <v>0.19444444444444445</v>
      </c>
      <c r="D12" s="156">
        <f t="shared" si="0"/>
        <v>3</v>
      </c>
      <c r="E12" s="162" t="s">
        <v>137</v>
      </c>
      <c r="F12" s="156">
        <f t="shared" si="1"/>
        <v>3</v>
      </c>
      <c r="G12" s="170" t="s">
        <v>137</v>
      </c>
      <c r="H12" s="154" t="s">
        <v>22</v>
      </c>
      <c r="I12" s="155">
        <f t="shared" si="2"/>
        <v>4</v>
      </c>
      <c r="J12" s="156">
        <f t="shared" si="3"/>
        <v>4</v>
      </c>
      <c r="K12" s="157" t="s">
        <v>138</v>
      </c>
      <c r="L12" s="156">
        <f t="shared" si="4"/>
        <v>4</v>
      </c>
      <c r="M12" s="158" t="s">
        <v>134</v>
      </c>
      <c r="N12" s="154" t="s">
        <v>22</v>
      </c>
      <c r="O12" s="155">
        <f t="shared" si="5"/>
        <v>2</v>
      </c>
      <c r="P12" s="156">
        <f t="shared" si="10"/>
        <v>4</v>
      </c>
      <c r="Q12" s="157" t="s">
        <v>134</v>
      </c>
      <c r="R12" s="156">
        <f t="shared" si="13"/>
        <v>4</v>
      </c>
      <c r="S12" s="158" t="s">
        <v>134</v>
      </c>
      <c r="T12" s="154" t="s">
        <v>22</v>
      </c>
      <c r="U12" s="155">
        <f t="shared" si="6"/>
        <v>0</v>
      </c>
      <c r="V12" s="156">
        <f t="shared" si="11"/>
        <v>4</v>
      </c>
      <c r="W12" s="157" t="s">
        <v>134</v>
      </c>
      <c r="X12" s="156">
        <f t="shared" si="12"/>
        <v>4</v>
      </c>
      <c r="Y12" s="158" t="s">
        <v>134</v>
      </c>
      <c r="Z12" s="32"/>
      <c r="AA12" s="111" t="s">
        <v>22</v>
      </c>
      <c r="AB12" s="112">
        <f t="shared" si="7"/>
        <v>0.19444444444444445</v>
      </c>
      <c r="AC12" s="81">
        <v>3</v>
      </c>
      <c r="AD12" s="11">
        <v>3</v>
      </c>
      <c r="AE12" s="11">
        <v>4</v>
      </c>
      <c r="AF12" s="11">
        <v>4</v>
      </c>
      <c r="AG12" s="11">
        <v>4</v>
      </c>
      <c r="AH12" s="11">
        <v>4</v>
      </c>
      <c r="AI12" s="11">
        <v>4</v>
      </c>
      <c r="AJ12" s="13">
        <v>4</v>
      </c>
      <c r="AK12" s="32"/>
      <c r="AL12" s="19" t="s">
        <v>22</v>
      </c>
      <c r="AM12" s="98">
        <v>2</v>
      </c>
      <c r="AN12" s="98">
        <v>2</v>
      </c>
      <c r="AO12" s="98">
        <v>2</v>
      </c>
      <c r="AP12" s="98">
        <v>2</v>
      </c>
      <c r="AQ12" s="98">
        <v>1</v>
      </c>
      <c r="AR12" s="98">
        <v>2</v>
      </c>
      <c r="AS12" s="98">
        <v>1</v>
      </c>
      <c r="AT12" s="27"/>
      <c r="AU12" s="99">
        <v>2</v>
      </c>
      <c r="AV12" s="17">
        <f t="shared" si="8"/>
        <v>14</v>
      </c>
      <c r="AW12" s="28">
        <f t="shared" si="9"/>
        <v>0.19444444444444445</v>
      </c>
      <c r="AX12" s="7"/>
    </row>
    <row r="13" spans="1:50" ht="27" customHeight="1" thickBot="1" x14ac:dyDescent="0.3">
      <c r="A13" s="7"/>
      <c r="B13" s="160" t="s">
        <v>23</v>
      </c>
      <c r="C13" s="161">
        <f>AB13</f>
        <v>9.7222222222222224E-2</v>
      </c>
      <c r="D13" s="156">
        <f>AC13</f>
        <v>2</v>
      </c>
      <c r="E13" s="157" t="s">
        <v>51</v>
      </c>
      <c r="F13" s="156">
        <f>AD13</f>
        <v>2</v>
      </c>
      <c r="G13" s="158" t="s">
        <v>51</v>
      </c>
      <c r="H13" s="160" t="s">
        <v>23</v>
      </c>
      <c r="I13" s="161">
        <f>AH13</f>
        <v>3</v>
      </c>
      <c r="J13" s="156">
        <f>AE13</f>
        <v>4</v>
      </c>
      <c r="K13" s="157" t="s">
        <v>52</v>
      </c>
      <c r="L13" s="156">
        <f>AF13</f>
        <v>4</v>
      </c>
      <c r="M13" s="158" t="s">
        <v>52</v>
      </c>
      <c r="N13" s="160" t="s">
        <v>23</v>
      </c>
      <c r="O13" s="161">
        <f>AN13</f>
        <v>1</v>
      </c>
      <c r="P13" s="156">
        <f>AG13</f>
        <v>3</v>
      </c>
      <c r="Q13" s="157" t="s">
        <v>53</v>
      </c>
      <c r="R13" s="156">
        <f>AH13</f>
        <v>3</v>
      </c>
      <c r="S13" s="158" t="s">
        <v>53</v>
      </c>
      <c r="T13" s="160" t="s">
        <v>23</v>
      </c>
      <c r="U13" s="161">
        <f>AT13</f>
        <v>0</v>
      </c>
      <c r="V13" s="156">
        <f t="shared" si="11"/>
        <v>3</v>
      </c>
      <c r="W13" s="157" t="s">
        <v>54</v>
      </c>
      <c r="X13" s="156">
        <f t="shared" si="12"/>
        <v>3</v>
      </c>
      <c r="Y13" s="158" t="s">
        <v>54</v>
      </c>
      <c r="Z13" s="32"/>
      <c r="AA13" s="107" t="s">
        <v>23</v>
      </c>
      <c r="AB13" s="108">
        <f t="shared" si="7"/>
        <v>9.7222222222222224E-2</v>
      </c>
      <c r="AC13" s="82">
        <v>2</v>
      </c>
      <c r="AD13" s="37">
        <v>2</v>
      </c>
      <c r="AE13" s="37">
        <v>4</v>
      </c>
      <c r="AF13" s="37">
        <v>4</v>
      </c>
      <c r="AG13" s="37">
        <v>3</v>
      </c>
      <c r="AH13" s="37">
        <v>3</v>
      </c>
      <c r="AI13" s="37">
        <v>3</v>
      </c>
      <c r="AJ13" s="69">
        <v>3</v>
      </c>
      <c r="AK13" s="32"/>
      <c r="AL13" s="104" t="s">
        <v>23</v>
      </c>
      <c r="AM13" s="100">
        <v>1</v>
      </c>
      <c r="AN13" s="100">
        <v>1</v>
      </c>
      <c r="AO13" s="100">
        <v>1</v>
      </c>
      <c r="AP13" s="100">
        <v>1</v>
      </c>
      <c r="AQ13" s="100">
        <v>1</v>
      </c>
      <c r="AR13" s="100">
        <v>1</v>
      </c>
      <c r="AS13" s="100">
        <v>1</v>
      </c>
      <c r="AT13" s="100">
        <v>0</v>
      </c>
      <c r="AU13" s="101"/>
      <c r="AV13" s="105">
        <f t="shared" si="8"/>
        <v>7</v>
      </c>
      <c r="AW13" s="106">
        <f t="shared" si="9"/>
        <v>9.7222222222222224E-2</v>
      </c>
      <c r="AX13" s="7"/>
    </row>
    <row r="14" spans="1:50" ht="16.2" thickBot="1" x14ac:dyDescent="0.3">
      <c r="B14" s="166" t="s">
        <v>24</v>
      </c>
      <c r="C14" s="167">
        <f>SUM(C5:C13)</f>
        <v>1</v>
      </c>
      <c r="D14" s="163"/>
      <c r="E14" s="168">
        <f>SUMPRODUCT($C$5:$C$13,D5:D13)</f>
        <v>3.1805555555555558</v>
      </c>
      <c r="F14" s="163"/>
      <c r="G14" s="169">
        <f>SUMPRODUCT($C$5:$C$13,F5:F13)</f>
        <v>3.1250000000000004</v>
      </c>
      <c r="H14" s="166" t="s">
        <v>24</v>
      </c>
      <c r="I14" s="167">
        <f>SUM(I5:I13)</f>
        <v>31</v>
      </c>
      <c r="J14" s="163"/>
      <c r="K14" s="168">
        <f>SUMPRODUCT($C$5:$C$13,J5:J13)</f>
        <v>3.7499999999999996</v>
      </c>
      <c r="L14" s="163"/>
      <c r="M14" s="169">
        <f>SUMPRODUCT($C$5:$C$13,L5:L13)</f>
        <v>3.6944444444444442</v>
      </c>
      <c r="N14" s="166" t="s">
        <v>24</v>
      </c>
      <c r="O14" s="167">
        <f>SUM(O5:O13)</f>
        <v>12</v>
      </c>
      <c r="P14" s="163"/>
      <c r="Q14" s="168">
        <f>SUMPRODUCT($C$5:$C$13,P5:P13)</f>
        <v>3.6527777777777772</v>
      </c>
      <c r="R14" s="163"/>
      <c r="S14" s="169">
        <f>SUMPRODUCT($C$5:$C$13,R5:R13)</f>
        <v>3.4166666666666665</v>
      </c>
      <c r="T14" s="166" t="s">
        <v>24</v>
      </c>
      <c r="U14" s="167">
        <f>SUM(U5:U13)</f>
        <v>2</v>
      </c>
      <c r="V14" s="163"/>
      <c r="W14" s="168">
        <f>SUMPRODUCT($C$5:$C$13,V5:V13)</f>
        <v>3.4722222222222219</v>
      </c>
      <c r="X14" s="163"/>
      <c r="Y14" s="169">
        <f>SUMPRODUCT($C$5:$C$13,X5:X13)</f>
        <v>3.4166666666666665</v>
      </c>
      <c r="Z14" s="32"/>
      <c r="AA14" s="76" t="s">
        <v>24</v>
      </c>
      <c r="AB14" s="86">
        <f>SUM(AB5:AB13)</f>
        <v>1</v>
      </c>
      <c r="AC14" s="83">
        <f t="shared" ref="AC14:AJ14" si="14">SUMPRODUCT($AB$5:$AB$13,AC5:AC13)</f>
        <v>3.1805555555555558</v>
      </c>
      <c r="AD14" s="75">
        <f t="shared" si="14"/>
        <v>3.1250000000000004</v>
      </c>
      <c r="AE14" s="75">
        <f t="shared" si="14"/>
        <v>3.7499999999999996</v>
      </c>
      <c r="AF14" s="75">
        <f t="shared" si="14"/>
        <v>3.6944444444444442</v>
      </c>
      <c r="AG14" s="75">
        <f t="shared" si="14"/>
        <v>3.6527777777777772</v>
      </c>
      <c r="AH14" s="75">
        <f t="shared" si="14"/>
        <v>3.4166666666666665</v>
      </c>
      <c r="AI14" s="75">
        <f t="shared" si="14"/>
        <v>3.4722222222222219</v>
      </c>
      <c r="AJ14" s="77">
        <f t="shared" si="14"/>
        <v>3.4166666666666665</v>
      </c>
      <c r="AK14" s="32"/>
      <c r="AL14" s="35"/>
      <c r="AM14" s="35"/>
      <c r="AN14" s="35"/>
      <c r="AO14" s="35"/>
      <c r="AP14" s="35"/>
      <c r="AQ14" s="35"/>
      <c r="AR14" s="35"/>
      <c r="AS14" s="35"/>
      <c r="AT14" s="35"/>
      <c r="AU14" s="35"/>
      <c r="AV14" s="102">
        <f>SUM(AV5:AV13)</f>
        <v>72</v>
      </c>
      <c r="AW14" s="103">
        <f>SUM(AW5:AW13)</f>
        <v>1</v>
      </c>
    </row>
    <row r="15" spans="1:50" ht="16.2" thickBot="1" x14ac:dyDescent="0.3">
      <c r="B15" s="152"/>
      <c r="C15" s="153" t="b">
        <f>C14=AB14</f>
        <v>1</v>
      </c>
      <c r="D15" s="152" t="b">
        <f>SUM(D5:D13)=SUM(AC5:AC13)</f>
        <v>1</v>
      </c>
      <c r="E15" s="153" t="b">
        <f>E14=AC14</f>
        <v>1</v>
      </c>
      <c r="F15" s="152" t="b">
        <f>SUM(F5:F13)=SUM(AD5:AD13)</f>
        <v>1</v>
      </c>
      <c r="G15" s="153" t="b">
        <f>G14=AD14</f>
        <v>1</v>
      </c>
      <c r="H15" s="152"/>
      <c r="I15" s="153" t="b">
        <f>I14=AH14</f>
        <v>0</v>
      </c>
      <c r="J15" s="152" t="b">
        <f>SUM(J5:J13)=SUM(AE5:AE13)</f>
        <v>1</v>
      </c>
      <c r="K15" s="153" t="b">
        <f>K14=AE14</f>
        <v>1</v>
      </c>
      <c r="L15" s="152" t="b">
        <f>SUM(L5:L13)=SUM(AF5:AF13)</f>
        <v>1</v>
      </c>
      <c r="M15" s="153" t="b">
        <f>AF14=M14</f>
        <v>1</v>
      </c>
      <c r="N15" s="152"/>
      <c r="O15" s="153" t="b">
        <f>O14=AN14</f>
        <v>0</v>
      </c>
      <c r="P15" s="152" t="b">
        <f>SUM(P5:P13)=SUM(AG5:AG13)</f>
        <v>1</v>
      </c>
      <c r="Q15" s="153" t="b">
        <f>AG14=Q14</f>
        <v>1</v>
      </c>
      <c r="R15" s="152" t="b">
        <f>SUM(R5:R13)=SUM(AH5:AH13)</f>
        <v>1</v>
      </c>
      <c r="S15" s="153" t="b">
        <f>AH14=S14</f>
        <v>1</v>
      </c>
      <c r="T15" s="152"/>
      <c r="U15" s="153" t="b">
        <f>U14=AT14</f>
        <v>0</v>
      </c>
      <c r="V15" s="152" t="b">
        <f>SUM(V5:V13)=SUM(AI5:AI13)</f>
        <v>1</v>
      </c>
      <c r="W15" s="153" t="b">
        <f>AI14=W14</f>
        <v>1</v>
      </c>
      <c r="X15" s="152" t="b">
        <f>SUM(X5:X13)=SUM(AJ5:AJ13)</f>
        <v>1</v>
      </c>
      <c r="Y15" s="153" t="b">
        <f>AJ14=Y14</f>
        <v>1</v>
      </c>
      <c r="Z15" s="32"/>
      <c r="AA15" s="78" t="s">
        <v>55</v>
      </c>
      <c r="AB15" s="87"/>
      <c r="AC15" s="84">
        <f>RANK(AC14,$AC$14:$AJ$14,1)</f>
        <v>2</v>
      </c>
      <c r="AD15" s="79">
        <f t="shared" ref="AD15:AJ15" si="15">RANK(AD14,$AC$14:$AJ$14,1)</f>
        <v>1</v>
      </c>
      <c r="AE15" s="79">
        <f t="shared" si="15"/>
        <v>8</v>
      </c>
      <c r="AF15" s="79">
        <f t="shared" si="15"/>
        <v>7</v>
      </c>
      <c r="AG15" s="79">
        <f t="shared" si="15"/>
        <v>6</v>
      </c>
      <c r="AH15" s="79">
        <f t="shared" si="15"/>
        <v>3</v>
      </c>
      <c r="AI15" s="79">
        <f t="shared" si="15"/>
        <v>5</v>
      </c>
      <c r="AJ15" s="80">
        <f t="shared" si="15"/>
        <v>3</v>
      </c>
      <c r="AL15" s="7"/>
      <c r="AM15" s="7"/>
      <c r="AN15" s="7"/>
      <c r="AO15" s="7"/>
      <c r="AP15" s="7"/>
      <c r="AQ15" s="7"/>
      <c r="AR15" s="7"/>
      <c r="AS15" s="7"/>
      <c r="AT15" s="7"/>
      <c r="AU15" s="7"/>
      <c r="AV15" s="7"/>
      <c r="AW15" s="10"/>
      <c r="AX15" s="10"/>
    </row>
    <row r="16" spans="1:50" ht="22.5" customHeight="1" x14ac:dyDescent="0.25">
      <c r="K16" s="7"/>
      <c r="L16" s="7"/>
      <c r="M16" s="7"/>
      <c r="P16" s="7"/>
      <c r="Q16" s="7"/>
      <c r="R16" s="7"/>
      <c r="S16" s="7"/>
      <c r="V16" s="7"/>
      <c r="W16" s="7"/>
      <c r="X16" s="7"/>
      <c r="Y16" s="7"/>
      <c r="AA16" s="30"/>
      <c r="AB16" s="31"/>
      <c r="AC16" s="36" t="str">
        <f>IF(AC15=1,"BEST","-")</f>
        <v>-</v>
      </c>
      <c r="AD16" s="36" t="str">
        <f t="shared" ref="AD16:AJ16" si="16">IF(AD15=1,"BEST","-")</f>
        <v>BEST</v>
      </c>
      <c r="AE16" s="36" t="str">
        <f t="shared" si="16"/>
        <v>-</v>
      </c>
      <c r="AF16" s="36" t="str">
        <f t="shared" si="16"/>
        <v>-</v>
      </c>
      <c r="AG16" s="36" t="str">
        <f t="shared" si="16"/>
        <v>-</v>
      </c>
      <c r="AH16" s="36" t="str">
        <f t="shared" si="16"/>
        <v>-</v>
      </c>
      <c r="AI16" s="36" t="str">
        <f t="shared" si="16"/>
        <v>-</v>
      </c>
      <c r="AJ16" s="36" t="str">
        <f t="shared" si="16"/>
        <v>-</v>
      </c>
      <c r="AL16" s="7"/>
      <c r="AM16" s="7"/>
      <c r="AN16" s="7"/>
      <c r="AO16" s="7"/>
      <c r="AP16" s="7"/>
      <c r="AQ16" s="7"/>
      <c r="AR16" s="7"/>
      <c r="AS16" s="7"/>
      <c r="AT16" s="7"/>
      <c r="AU16" s="7"/>
      <c r="AV16" s="7"/>
    </row>
    <row r="17" spans="27:44" x14ac:dyDescent="0.25">
      <c r="AA17" s="20"/>
      <c r="AB17" s="14"/>
      <c r="AC17" s="23"/>
      <c r="AD17" s="23"/>
      <c r="AE17" s="23"/>
      <c r="AF17" s="23"/>
      <c r="AG17" s="23"/>
      <c r="AH17" s="23"/>
      <c r="AI17" s="23"/>
      <c r="AJ17" s="23"/>
    </row>
    <row r="18" spans="27:44" ht="14.4" thickBot="1" x14ac:dyDescent="0.3">
      <c r="AA18" s="20"/>
      <c r="AB18" s="14"/>
      <c r="AC18" s="23"/>
      <c r="AD18" s="23"/>
      <c r="AE18" s="23"/>
      <c r="AF18" s="23"/>
      <c r="AG18" s="23"/>
      <c r="AH18" s="23"/>
      <c r="AI18" s="23"/>
      <c r="AJ18" s="23"/>
      <c r="AL18" s="29" t="s">
        <v>56</v>
      </c>
      <c r="AM18" s="7"/>
      <c r="AN18" s="7"/>
      <c r="AO18" s="7"/>
      <c r="AP18" s="7"/>
      <c r="AQ18" s="7"/>
      <c r="AR18" s="7"/>
    </row>
    <row r="19" spans="27:44" x14ac:dyDescent="0.25">
      <c r="AA19" s="20"/>
      <c r="AB19" s="14"/>
      <c r="AC19" s="23"/>
      <c r="AD19" s="23"/>
      <c r="AE19" s="23"/>
      <c r="AF19" s="23"/>
      <c r="AG19" s="23"/>
      <c r="AH19" s="23"/>
      <c r="AI19" s="23"/>
      <c r="AJ19" s="23"/>
      <c r="AL19" s="140" t="s">
        <v>14</v>
      </c>
      <c r="AM19" s="141">
        <v>5</v>
      </c>
      <c r="AN19" s="141">
        <v>4</v>
      </c>
      <c r="AO19" s="141">
        <v>3</v>
      </c>
      <c r="AP19" s="141">
        <v>2</v>
      </c>
      <c r="AQ19" s="142">
        <v>1</v>
      </c>
    </row>
    <row r="20" spans="27:44" ht="96.6" customHeight="1" x14ac:dyDescent="0.25">
      <c r="AA20" s="20"/>
      <c r="AB20" s="14"/>
      <c r="AC20" s="23"/>
      <c r="AD20" s="23"/>
      <c r="AE20" s="23"/>
      <c r="AF20" s="23"/>
      <c r="AG20" s="23"/>
      <c r="AH20" s="23"/>
      <c r="AI20" s="23"/>
      <c r="AJ20" s="23"/>
      <c r="AL20" s="143" t="s">
        <v>21</v>
      </c>
      <c r="AM20" s="144" t="s">
        <v>57</v>
      </c>
      <c r="AN20" s="144" t="s">
        <v>58</v>
      </c>
      <c r="AO20" s="144" t="s">
        <v>59</v>
      </c>
      <c r="AP20" s="144" t="s">
        <v>60</v>
      </c>
      <c r="AQ20" s="145" t="s">
        <v>61</v>
      </c>
    </row>
    <row r="21" spans="27:44" ht="55.2" customHeight="1" x14ac:dyDescent="0.25">
      <c r="AA21" s="20"/>
      <c r="AB21" s="14"/>
      <c r="AC21" s="23"/>
      <c r="AD21" s="23"/>
      <c r="AE21" s="23"/>
      <c r="AF21" s="23"/>
      <c r="AG21" s="23"/>
      <c r="AH21" s="23"/>
      <c r="AI21" s="23"/>
      <c r="AJ21" s="23"/>
      <c r="AL21" s="143" t="s">
        <v>15</v>
      </c>
      <c r="AM21" s="146" t="s">
        <v>62</v>
      </c>
      <c r="AN21" s="146" t="s">
        <v>63</v>
      </c>
      <c r="AO21" s="146" t="s">
        <v>64</v>
      </c>
      <c r="AP21" s="146" t="s">
        <v>65</v>
      </c>
      <c r="AQ21" s="147" t="s">
        <v>66</v>
      </c>
    </row>
    <row r="22" spans="27:44" ht="20.399999999999999" x14ac:dyDescent="0.25">
      <c r="AA22" s="20"/>
      <c r="AB22" s="14"/>
      <c r="AC22" s="23"/>
      <c r="AD22" s="23"/>
      <c r="AE22" s="23"/>
      <c r="AF22" s="23"/>
      <c r="AG22" s="23"/>
      <c r="AH22" s="23"/>
      <c r="AI22" s="23"/>
      <c r="AJ22" s="23"/>
      <c r="AL22" s="143" t="s">
        <v>16</v>
      </c>
      <c r="AM22" s="144" t="s">
        <v>67</v>
      </c>
      <c r="AN22" s="144" t="s">
        <v>68</v>
      </c>
      <c r="AO22" s="144" t="s">
        <v>69</v>
      </c>
      <c r="AP22" s="144" t="s">
        <v>70</v>
      </c>
      <c r="AQ22" s="145" t="s">
        <v>71</v>
      </c>
    </row>
    <row r="23" spans="27:44" ht="51.6" customHeight="1" x14ac:dyDescent="0.25">
      <c r="AA23" s="20"/>
      <c r="AB23" s="14"/>
      <c r="AC23" s="23"/>
      <c r="AD23" s="23"/>
      <c r="AE23" s="23"/>
      <c r="AF23" s="23"/>
      <c r="AG23" s="23"/>
      <c r="AH23" s="23"/>
      <c r="AI23" s="23"/>
      <c r="AJ23" s="23"/>
      <c r="AL23" s="143" t="s">
        <v>39</v>
      </c>
      <c r="AM23" s="144" t="s">
        <v>72</v>
      </c>
      <c r="AN23" s="144" t="s">
        <v>73</v>
      </c>
      <c r="AO23" s="144" t="s">
        <v>74</v>
      </c>
      <c r="AP23" s="144" t="s">
        <v>75</v>
      </c>
      <c r="AQ23" s="145" t="s">
        <v>76</v>
      </c>
    </row>
    <row r="24" spans="27:44" ht="31.8" customHeight="1" x14ac:dyDescent="0.25">
      <c r="AA24" s="20"/>
      <c r="AB24" s="14"/>
      <c r="AC24" s="23"/>
      <c r="AD24" s="23"/>
      <c r="AE24" s="23"/>
      <c r="AF24" s="23"/>
      <c r="AG24" s="23"/>
      <c r="AH24" s="23"/>
      <c r="AI24" s="23"/>
      <c r="AJ24" s="23"/>
      <c r="AL24" s="143" t="s">
        <v>18</v>
      </c>
      <c r="AM24" s="144" t="s">
        <v>77</v>
      </c>
      <c r="AN24" s="144" t="s">
        <v>78</v>
      </c>
      <c r="AO24" s="144" t="s">
        <v>79</v>
      </c>
      <c r="AP24" s="144" t="s">
        <v>80</v>
      </c>
      <c r="AQ24" s="145" t="s">
        <v>81</v>
      </c>
    </row>
    <row r="25" spans="27:44" ht="38.4" customHeight="1" x14ac:dyDescent="0.25">
      <c r="AA25" s="20"/>
      <c r="AB25" s="14"/>
      <c r="AC25" s="23"/>
      <c r="AD25" s="23"/>
      <c r="AE25" s="23"/>
      <c r="AF25" s="23"/>
      <c r="AG25" s="23"/>
      <c r="AH25" s="23"/>
      <c r="AI25" s="23"/>
      <c r="AJ25" s="23"/>
      <c r="AL25" s="148" t="s">
        <v>19</v>
      </c>
      <c r="AM25" s="146" t="s">
        <v>82</v>
      </c>
      <c r="AN25" s="146" t="s">
        <v>83</v>
      </c>
      <c r="AO25" s="146" t="s">
        <v>84</v>
      </c>
      <c r="AP25" s="146" t="s">
        <v>85</v>
      </c>
      <c r="AQ25" s="147" t="s">
        <v>86</v>
      </c>
    </row>
    <row r="26" spans="27:44" ht="30.6" x14ac:dyDescent="0.25">
      <c r="AA26" s="21"/>
      <c r="AB26" s="22"/>
      <c r="AC26" s="24"/>
      <c r="AD26" s="24"/>
      <c r="AE26" s="24"/>
      <c r="AF26" s="24"/>
      <c r="AG26" s="24"/>
      <c r="AH26" s="24"/>
      <c r="AI26" s="24"/>
      <c r="AJ26" s="24"/>
      <c r="AL26" s="148" t="s">
        <v>20</v>
      </c>
      <c r="AM26" s="146" t="s">
        <v>87</v>
      </c>
      <c r="AN26" s="146" t="s">
        <v>88</v>
      </c>
      <c r="AO26" s="146" t="s">
        <v>89</v>
      </c>
      <c r="AP26" s="146" t="s">
        <v>90</v>
      </c>
      <c r="AQ26" s="147" t="s">
        <v>91</v>
      </c>
    </row>
    <row r="27" spans="27:44" ht="56.4" customHeight="1" x14ac:dyDescent="0.25">
      <c r="AL27" s="148" t="s">
        <v>22</v>
      </c>
      <c r="AM27" s="146" t="s">
        <v>92</v>
      </c>
      <c r="AN27" s="146" t="s">
        <v>93</v>
      </c>
      <c r="AO27" s="146" t="s">
        <v>94</v>
      </c>
      <c r="AP27" s="146" t="s">
        <v>95</v>
      </c>
      <c r="AQ27" s="147" t="s">
        <v>96</v>
      </c>
    </row>
    <row r="28" spans="27:44" ht="51" customHeight="1" thickBot="1" x14ac:dyDescent="0.3">
      <c r="AL28" s="149" t="s">
        <v>23</v>
      </c>
      <c r="AM28" s="150" t="s">
        <v>97</v>
      </c>
      <c r="AN28" s="150" t="s">
        <v>98</v>
      </c>
      <c r="AO28" s="150" t="s">
        <v>99</v>
      </c>
      <c r="AP28" s="150" t="s">
        <v>100</v>
      </c>
      <c r="AQ28" s="151" t="s">
        <v>101</v>
      </c>
      <c r="AR28" s="70"/>
    </row>
  </sheetData>
  <mergeCells count="31">
    <mergeCell ref="AW3:AW4"/>
    <mergeCell ref="H3:H4"/>
    <mergeCell ref="I3:I4"/>
    <mergeCell ref="N3:N4"/>
    <mergeCell ref="O3:O4"/>
    <mergeCell ref="T3:T4"/>
    <mergeCell ref="U3:U4"/>
    <mergeCell ref="AQ3:AQ4"/>
    <mergeCell ref="AR3:AR4"/>
    <mergeCell ref="AS3:AS4"/>
    <mergeCell ref="AT3:AT4"/>
    <mergeCell ref="AU3:AU4"/>
    <mergeCell ref="AV3:AV4"/>
    <mergeCell ref="AC3:AJ3"/>
    <mergeCell ref="AL3:AL4"/>
    <mergeCell ref="AM3:AM4"/>
    <mergeCell ref="AN3:AN4"/>
    <mergeCell ref="AO3:AO4"/>
    <mergeCell ref="AP3:AP4"/>
    <mergeCell ref="P3:Q3"/>
    <mergeCell ref="R3:S3"/>
    <mergeCell ref="V3:W3"/>
    <mergeCell ref="X3:Y3"/>
    <mergeCell ref="AA3:AA4"/>
    <mergeCell ref="AB3:AB4"/>
    <mergeCell ref="L3:M3"/>
    <mergeCell ref="B3:B4"/>
    <mergeCell ref="C3:C4"/>
    <mergeCell ref="D3:E3"/>
    <mergeCell ref="F3:G3"/>
    <mergeCell ref="J3:K3"/>
  </mergeCells>
  <conditionalFormatting sqref="D5:F5 J5:J6 L5:L6 P5:P6 D6 F6 D9:F9 D10 F10 AC5:AG7 P9:P12 L9:L12 J9:J12 D11:F11 R9:R12 AC17:AJ25 AC9:AG13 D12 F12">
    <cfRule type="colorScale" priority="124">
      <colorScale>
        <cfvo type="num" val="1"/>
        <cfvo type="num" val="2.5"/>
        <cfvo type="num" val="5"/>
        <color rgb="FFFF0000"/>
        <color rgb="FFFFEB84"/>
        <color rgb="FF00B050"/>
      </colorScale>
    </cfRule>
  </conditionalFormatting>
  <conditionalFormatting sqref="AC26">
    <cfRule type="colorScale" priority="123">
      <colorScale>
        <cfvo type="num" val="1"/>
        <cfvo type="num" val="2.5"/>
        <cfvo type="num" val="5"/>
        <color rgb="FFFF0000"/>
        <color rgb="FFFFEB84"/>
        <color rgb="FF00B050"/>
      </colorScale>
    </cfRule>
  </conditionalFormatting>
  <conditionalFormatting sqref="AD26">
    <cfRule type="colorScale" priority="122">
      <colorScale>
        <cfvo type="num" val="1"/>
        <cfvo type="num" val="2.5"/>
        <cfvo type="num" val="5"/>
        <color rgb="FFFF0000"/>
        <color rgb="FFFFEB84"/>
        <color rgb="FF00B050"/>
      </colorScale>
    </cfRule>
  </conditionalFormatting>
  <conditionalFormatting sqref="AE26">
    <cfRule type="colorScale" priority="121">
      <colorScale>
        <cfvo type="num" val="1"/>
        <cfvo type="num" val="2.5"/>
        <cfvo type="num" val="5"/>
        <color rgb="FFFF0000"/>
        <color rgb="FFFFEB84"/>
        <color rgb="FF00B050"/>
      </colorScale>
    </cfRule>
  </conditionalFormatting>
  <conditionalFormatting sqref="AF26">
    <cfRule type="colorScale" priority="120">
      <colorScale>
        <cfvo type="num" val="1"/>
        <cfvo type="num" val="2.5"/>
        <cfvo type="num" val="5"/>
        <color rgb="FFFF0000"/>
        <color rgb="FFFFEB84"/>
        <color rgb="FF00B050"/>
      </colorScale>
    </cfRule>
  </conditionalFormatting>
  <conditionalFormatting sqref="AG26:AJ26">
    <cfRule type="colorScale" priority="119">
      <colorScale>
        <cfvo type="num" val="1"/>
        <cfvo type="num" val="2.5"/>
        <cfvo type="num" val="5"/>
        <color rgb="FFFF0000"/>
        <color rgb="FFFFEB84"/>
        <color rgb="FF00B050"/>
      </colorScale>
    </cfRule>
  </conditionalFormatting>
  <conditionalFormatting sqref="AC14">
    <cfRule type="colorScale" priority="118">
      <colorScale>
        <cfvo type="num" val="1"/>
        <cfvo type="num" val="2.5"/>
        <cfvo type="num" val="5"/>
        <color rgb="FFFF0000"/>
        <color rgb="FFFFEB84"/>
        <color rgb="FF00B050"/>
      </colorScale>
    </cfRule>
  </conditionalFormatting>
  <conditionalFormatting sqref="AD14">
    <cfRule type="colorScale" priority="117">
      <colorScale>
        <cfvo type="num" val="1"/>
        <cfvo type="num" val="2.5"/>
        <cfvo type="num" val="5"/>
        <color rgb="FFFF0000"/>
        <color rgb="FFFFEB84"/>
        <color rgb="FF00B050"/>
      </colorScale>
    </cfRule>
  </conditionalFormatting>
  <conditionalFormatting sqref="AE14">
    <cfRule type="colorScale" priority="116">
      <colorScale>
        <cfvo type="num" val="1"/>
        <cfvo type="num" val="2.5"/>
        <cfvo type="num" val="5"/>
        <color rgb="FFFF0000"/>
        <color rgb="FFFFEB84"/>
        <color rgb="FF00B050"/>
      </colorScale>
    </cfRule>
  </conditionalFormatting>
  <conditionalFormatting sqref="AF14">
    <cfRule type="colorScale" priority="115">
      <colorScale>
        <cfvo type="num" val="1"/>
        <cfvo type="num" val="2.5"/>
        <cfvo type="num" val="5"/>
        <color rgb="FFFF0000"/>
        <color rgb="FFFFEB84"/>
        <color rgb="FF00B050"/>
      </colorScale>
    </cfRule>
  </conditionalFormatting>
  <conditionalFormatting sqref="AG14">
    <cfRule type="colorScale" priority="114">
      <colorScale>
        <cfvo type="num" val="1"/>
        <cfvo type="num" val="2.5"/>
        <cfvo type="num" val="5"/>
        <color rgb="FFFF0000"/>
        <color rgb="FFFFEB84"/>
        <color rgb="FF00B050"/>
      </colorScale>
    </cfRule>
  </conditionalFormatting>
  <conditionalFormatting sqref="J7 L7 P7 F7 D7:D8">
    <cfRule type="colorScale" priority="113">
      <colorScale>
        <cfvo type="num" val="1"/>
        <cfvo type="num" val="2.5"/>
        <cfvo type="num" val="5"/>
        <color rgb="FFFF0000"/>
        <color rgb="FFFFEB84"/>
        <color rgb="FF00B050"/>
      </colorScale>
    </cfRule>
  </conditionalFormatting>
  <conditionalFormatting sqref="K11">
    <cfRule type="colorScale" priority="112">
      <colorScale>
        <cfvo type="num" val="1"/>
        <cfvo type="num" val="2.5"/>
        <cfvo type="num" val="5"/>
        <color rgb="FFFF0000"/>
        <color rgb="FFFFEB84"/>
        <color rgb="FF00B050"/>
      </colorScale>
    </cfRule>
  </conditionalFormatting>
  <conditionalFormatting sqref="E6">
    <cfRule type="colorScale" priority="111">
      <colorScale>
        <cfvo type="num" val="1"/>
        <cfvo type="num" val="2.5"/>
        <cfvo type="num" val="5"/>
        <color rgb="FFFF0000"/>
        <color rgb="FFFFEB84"/>
        <color rgb="FF00B050"/>
      </colorScale>
    </cfRule>
  </conditionalFormatting>
  <conditionalFormatting sqref="K6">
    <cfRule type="colorScale" priority="110">
      <colorScale>
        <cfvo type="num" val="1"/>
        <cfvo type="num" val="2.5"/>
        <cfvo type="num" val="5"/>
        <color rgb="FFFF0000"/>
        <color rgb="FFFFEB84"/>
        <color rgb="FF00B050"/>
      </colorScale>
    </cfRule>
  </conditionalFormatting>
  <conditionalFormatting sqref="AH5:AH6">
    <cfRule type="colorScale" priority="103">
      <colorScale>
        <cfvo type="num" val="1"/>
        <cfvo type="num" val="2.5"/>
        <cfvo type="num" val="5"/>
        <color rgb="FFFF0000"/>
        <color rgb="FFFFEB84"/>
        <color rgb="FF00B050"/>
      </colorScale>
    </cfRule>
  </conditionalFormatting>
  <conditionalFormatting sqref="R13">
    <cfRule type="colorScale" priority="104">
      <colorScale>
        <cfvo type="num" val="1"/>
        <cfvo type="num" val="2.5"/>
        <cfvo type="num" val="5"/>
        <color rgb="FFFF0000"/>
        <color rgb="FFFFEB84"/>
        <color rgb="FF00B050"/>
      </colorScale>
    </cfRule>
  </conditionalFormatting>
  <conditionalFormatting sqref="AJ7">
    <cfRule type="colorScale" priority="91">
      <colorScale>
        <cfvo type="num" val="1"/>
        <cfvo type="num" val="2.5"/>
        <cfvo type="num" val="5"/>
        <color rgb="FFFF0000"/>
        <color rgb="FFFFEB84"/>
        <color rgb="FF00B050"/>
      </colorScale>
    </cfRule>
  </conditionalFormatting>
  <conditionalFormatting sqref="R5:R6">
    <cfRule type="colorScale" priority="109">
      <colorScale>
        <cfvo type="num" val="1"/>
        <cfvo type="num" val="2.5"/>
        <cfvo type="num" val="5"/>
        <color rgb="FFFF0000"/>
        <color rgb="FFFFEB84"/>
        <color rgb="FF00B050"/>
      </colorScale>
    </cfRule>
  </conditionalFormatting>
  <conditionalFormatting sqref="AH14">
    <cfRule type="colorScale" priority="107">
      <colorScale>
        <cfvo type="num" val="1"/>
        <cfvo type="num" val="2.5"/>
        <cfvo type="num" val="5"/>
        <color rgb="FFFF0000"/>
        <color rgb="FFFFEB84"/>
        <color rgb="FF00B050"/>
      </colorScale>
    </cfRule>
  </conditionalFormatting>
  <conditionalFormatting sqref="AH13">
    <cfRule type="colorScale" priority="108">
      <colorScale>
        <cfvo type="num" val="1"/>
        <cfvo type="num" val="2.5"/>
        <cfvo type="num" val="5"/>
        <color rgb="FFFF0000"/>
        <color rgb="FFFFEB84"/>
        <color rgb="FF00B050"/>
      </colorScale>
    </cfRule>
  </conditionalFormatting>
  <conditionalFormatting sqref="L13 P13 J13 D13 F13">
    <cfRule type="colorScale" priority="105">
      <colorScale>
        <cfvo type="num" val="1"/>
        <cfvo type="num" val="2.5"/>
        <cfvo type="num" val="5"/>
        <color rgb="FFFF0000"/>
        <color rgb="FFFFEB84"/>
        <color rgb="FF00B050"/>
      </colorScale>
    </cfRule>
  </conditionalFormatting>
  <conditionalFormatting sqref="R7">
    <cfRule type="colorScale" priority="106">
      <colorScale>
        <cfvo type="num" val="1"/>
        <cfvo type="num" val="2.5"/>
        <cfvo type="num" val="5"/>
        <color rgb="FFFF0000"/>
        <color rgb="FFFFEB84"/>
        <color rgb="FF00B050"/>
      </colorScale>
    </cfRule>
  </conditionalFormatting>
  <conditionalFormatting sqref="AH7">
    <cfRule type="colorScale" priority="102">
      <colorScale>
        <cfvo type="num" val="1"/>
        <cfvo type="num" val="2.5"/>
        <cfvo type="num" val="5"/>
        <color rgb="FFFF0000"/>
        <color rgb="FFFFEB84"/>
        <color rgb="FF00B050"/>
      </colorScale>
    </cfRule>
  </conditionalFormatting>
  <conditionalFormatting sqref="AH9">
    <cfRule type="colorScale" priority="101">
      <colorScale>
        <cfvo type="num" val="1"/>
        <cfvo type="num" val="2.5"/>
        <cfvo type="num" val="5"/>
        <color rgb="FFFF0000"/>
        <color rgb="FFFFEB84"/>
        <color rgb="FF00B050"/>
      </colorScale>
    </cfRule>
  </conditionalFormatting>
  <conditionalFormatting sqref="AH10:AH11">
    <cfRule type="colorScale" priority="100">
      <colorScale>
        <cfvo type="num" val="1"/>
        <cfvo type="num" val="2.5"/>
        <cfvo type="num" val="5"/>
        <color rgb="FFFF0000"/>
        <color rgb="FFFFEB84"/>
        <color rgb="FF00B050"/>
      </colorScale>
    </cfRule>
  </conditionalFormatting>
  <conditionalFormatting sqref="AH12">
    <cfRule type="colorScale" priority="99">
      <colorScale>
        <cfvo type="num" val="1"/>
        <cfvo type="num" val="2.5"/>
        <cfvo type="num" val="5"/>
        <color rgb="FFFF0000"/>
        <color rgb="FFFFEB84"/>
        <color rgb="FF00B050"/>
      </colorScale>
    </cfRule>
  </conditionalFormatting>
  <conditionalFormatting sqref="AJ14">
    <cfRule type="colorScale" priority="93">
      <colorScale>
        <cfvo type="num" val="1"/>
        <cfvo type="num" val="2.5"/>
        <cfvo type="num" val="5"/>
        <color rgb="FFFF0000"/>
        <color rgb="FFFFEB84"/>
        <color rgb="FF00B050"/>
      </colorScale>
    </cfRule>
  </conditionalFormatting>
  <conditionalFormatting sqref="AJ5:AJ6">
    <cfRule type="colorScale" priority="92">
      <colorScale>
        <cfvo type="num" val="1"/>
        <cfvo type="num" val="2.5"/>
        <cfvo type="num" val="5"/>
        <color rgb="FFFF0000"/>
        <color rgb="FFFFEB84"/>
        <color rgb="FF00B050"/>
      </colorScale>
    </cfRule>
  </conditionalFormatting>
  <conditionalFormatting sqref="Q13">
    <cfRule type="colorScale" priority="98">
      <colorScale>
        <cfvo type="num" val="1"/>
        <cfvo type="num" val="2.5"/>
        <cfvo type="num" val="5"/>
        <color rgb="FFFF0000"/>
        <color rgb="FFFFEB84"/>
        <color rgb="FF00B050"/>
      </colorScale>
    </cfRule>
  </conditionalFormatting>
  <conditionalFormatting sqref="K9">
    <cfRule type="colorScale" priority="97">
      <colorScale>
        <cfvo type="num" val="1"/>
        <cfvo type="num" val="2.5"/>
        <cfvo type="num" val="5"/>
        <color rgb="FFFF0000"/>
        <color rgb="FFFFEB84"/>
        <color rgb="FF00B050"/>
      </colorScale>
    </cfRule>
  </conditionalFormatting>
  <conditionalFormatting sqref="AI5:AI7 AI9:AI13">
    <cfRule type="colorScale" priority="96">
      <colorScale>
        <cfvo type="num" val="1"/>
        <cfvo type="num" val="2.5"/>
        <cfvo type="num" val="5"/>
        <color rgb="FFFF0000"/>
        <color rgb="FFFFEB84"/>
        <color rgb="FF00B050"/>
      </colorScale>
    </cfRule>
  </conditionalFormatting>
  <conditionalFormatting sqref="AI14">
    <cfRule type="colorScale" priority="95">
      <colorScale>
        <cfvo type="num" val="1"/>
        <cfvo type="num" val="2.5"/>
        <cfvo type="num" val="5"/>
        <color rgb="FFFF0000"/>
        <color rgb="FFFFEB84"/>
        <color rgb="FF00B050"/>
      </colorScale>
    </cfRule>
  </conditionalFormatting>
  <conditionalFormatting sqref="AJ13">
    <cfRule type="colorScale" priority="94">
      <colorScale>
        <cfvo type="num" val="1"/>
        <cfvo type="num" val="2.5"/>
        <cfvo type="num" val="5"/>
        <color rgb="FFFF0000"/>
        <color rgb="FFFFEB84"/>
        <color rgb="FF00B050"/>
      </colorScale>
    </cfRule>
  </conditionalFormatting>
  <conditionalFormatting sqref="AJ9">
    <cfRule type="colorScale" priority="90">
      <colorScale>
        <cfvo type="num" val="1"/>
        <cfvo type="num" val="2.5"/>
        <cfvo type="num" val="5"/>
        <color rgb="FFFF0000"/>
        <color rgb="FFFFEB84"/>
        <color rgb="FF00B050"/>
      </colorScale>
    </cfRule>
  </conditionalFormatting>
  <conditionalFormatting sqref="AJ10:AJ11">
    <cfRule type="colorScale" priority="89">
      <colorScale>
        <cfvo type="num" val="1"/>
        <cfvo type="num" val="2.5"/>
        <cfvo type="num" val="5"/>
        <color rgb="FFFF0000"/>
        <color rgb="FFFFEB84"/>
        <color rgb="FF00B050"/>
      </colorScale>
    </cfRule>
  </conditionalFormatting>
  <conditionalFormatting sqref="AJ12">
    <cfRule type="colorScale" priority="88">
      <colorScale>
        <cfvo type="num" val="1"/>
        <cfvo type="num" val="2.5"/>
        <cfvo type="num" val="5"/>
        <color rgb="FFFF0000"/>
        <color rgb="FFFFEB84"/>
        <color rgb="FF00B050"/>
      </colorScale>
    </cfRule>
  </conditionalFormatting>
  <conditionalFormatting sqref="V5">
    <cfRule type="colorScale" priority="87">
      <colorScale>
        <cfvo type="num" val="1"/>
        <cfvo type="num" val="2.5"/>
        <cfvo type="num" val="5"/>
        <color rgb="FFFF0000"/>
        <color rgb="FFFFEB84"/>
        <color rgb="FF00B050"/>
      </colorScale>
    </cfRule>
  </conditionalFormatting>
  <conditionalFormatting sqref="X6:X7 X9:X13">
    <cfRule type="colorScale" priority="82">
      <colorScale>
        <cfvo type="num" val="1"/>
        <cfvo type="num" val="2.5"/>
        <cfvo type="num" val="5"/>
        <color rgb="FFFF0000"/>
        <color rgb="FFFFEB84"/>
        <color rgb="FF00B050"/>
      </colorScale>
    </cfRule>
  </conditionalFormatting>
  <conditionalFormatting sqref="W7">
    <cfRule type="colorScale" priority="86">
      <colorScale>
        <cfvo type="num" val="1"/>
        <cfvo type="num" val="2.5"/>
        <cfvo type="num" val="5"/>
        <color rgb="FFFF0000"/>
        <color rgb="FFFFEB84"/>
        <color rgb="FF00B050"/>
      </colorScale>
    </cfRule>
  </conditionalFormatting>
  <conditionalFormatting sqref="AJ8">
    <cfRule type="colorScale" priority="78">
      <colorScale>
        <cfvo type="num" val="1"/>
        <cfvo type="num" val="2.5"/>
        <cfvo type="num" val="5"/>
        <color rgb="FFFF0000"/>
        <color rgb="FFFFEB84"/>
        <color rgb="FF00B050"/>
      </colorScale>
    </cfRule>
  </conditionalFormatting>
  <conditionalFormatting sqref="X5">
    <cfRule type="colorScale" priority="85">
      <colorScale>
        <cfvo type="num" val="1"/>
        <cfvo type="num" val="2.5"/>
        <cfvo type="num" val="5"/>
        <color rgb="FFFF0000"/>
        <color rgb="FFFFEB84"/>
        <color rgb="FF00B050"/>
      </colorScale>
    </cfRule>
  </conditionalFormatting>
  <conditionalFormatting sqref="Y7">
    <cfRule type="colorScale" priority="84">
      <colorScale>
        <cfvo type="num" val="1"/>
        <cfvo type="num" val="2.5"/>
        <cfvo type="num" val="5"/>
        <color rgb="FFFF0000"/>
        <color rgb="FFFFEB84"/>
        <color rgb="FF00B050"/>
      </colorScale>
    </cfRule>
  </conditionalFormatting>
  <conditionalFormatting sqref="V6:V7 V9:V13">
    <cfRule type="colorScale" priority="83">
      <colorScale>
        <cfvo type="num" val="1"/>
        <cfvo type="num" val="2.5"/>
        <cfvo type="num" val="5"/>
        <color rgb="FFFF0000"/>
        <color rgb="FFFFEB84"/>
        <color rgb="FF00B050"/>
      </colorScale>
    </cfRule>
  </conditionalFormatting>
  <conditionalFormatting sqref="AC8:AG8">
    <cfRule type="colorScale" priority="81">
      <colorScale>
        <cfvo type="num" val="1"/>
        <cfvo type="num" val="2.5"/>
        <cfvo type="num" val="5"/>
        <color rgb="FFFF0000"/>
        <color rgb="FFFFEB84"/>
        <color rgb="FF00B050"/>
      </colorScale>
    </cfRule>
  </conditionalFormatting>
  <conditionalFormatting sqref="AH8">
    <cfRule type="colorScale" priority="80">
      <colorScale>
        <cfvo type="num" val="1"/>
        <cfvo type="num" val="2.5"/>
        <cfvo type="num" val="5"/>
        <color rgb="FFFF0000"/>
        <color rgb="FFFFEB84"/>
        <color rgb="FF00B050"/>
      </colorScale>
    </cfRule>
  </conditionalFormatting>
  <conditionalFormatting sqref="AI8">
    <cfRule type="colorScale" priority="79">
      <colorScale>
        <cfvo type="num" val="1"/>
        <cfvo type="num" val="2.5"/>
        <cfvo type="num" val="5"/>
        <color rgb="FFFF0000"/>
        <color rgb="FFFFEB84"/>
        <color rgb="FF00B050"/>
      </colorScale>
    </cfRule>
  </conditionalFormatting>
  <conditionalFormatting sqref="F8">
    <cfRule type="colorScale" priority="77">
      <colorScale>
        <cfvo type="num" val="1"/>
        <cfvo type="num" val="2.5"/>
        <cfvo type="num" val="5"/>
        <color rgb="FFFF0000"/>
        <color rgb="FFFFEB84"/>
        <color rgb="FF00B050"/>
      </colorScale>
    </cfRule>
  </conditionalFormatting>
  <conditionalFormatting sqref="J8">
    <cfRule type="colorScale" priority="76">
      <colorScale>
        <cfvo type="num" val="1"/>
        <cfvo type="num" val="2.5"/>
        <cfvo type="num" val="5"/>
        <color rgb="FFFF0000"/>
        <color rgb="FFFFEB84"/>
        <color rgb="FF00B050"/>
      </colorScale>
    </cfRule>
  </conditionalFormatting>
  <conditionalFormatting sqref="K8">
    <cfRule type="colorScale" priority="75">
      <colorScale>
        <cfvo type="num" val="1"/>
        <cfvo type="num" val="2.5"/>
        <cfvo type="num" val="5"/>
        <color rgb="FFFF0000"/>
        <color rgb="FFFFEB84"/>
        <color rgb="FF00B050"/>
      </colorScale>
    </cfRule>
  </conditionalFormatting>
  <conditionalFormatting sqref="L8">
    <cfRule type="colorScale" priority="74">
      <colorScale>
        <cfvo type="num" val="1"/>
        <cfvo type="num" val="2.5"/>
        <cfvo type="num" val="5"/>
        <color rgb="FFFF0000"/>
        <color rgb="FFFFEB84"/>
        <color rgb="FF00B050"/>
      </colorScale>
    </cfRule>
  </conditionalFormatting>
  <conditionalFormatting sqref="P8">
    <cfRule type="colorScale" priority="73">
      <colorScale>
        <cfvo type="num" val="1"/>
        <cfvo type="num" val="2.5"/>
        <cfvo type="num" val="5"/>
        <color rgb="FFFF0000"/>
        <color rgb="FFFFEB84"/>
        <color rgb="FF00B050"/>
      </colorScale>
    </cfRule>
  </conditionalFormatting>
  <conditionalFormatting sqref="R8">
    <cfRule type="colorScale" priority="72">
      <colorScale>
        <cfvo type="num" val="1"/>
        <cfvo type="num" val="2.5"/>
        <cfvo type="num" val="5"/>
        <color rgb="FFFF0000"/>
        <color rgb="FFFFEB84"/>
        <color rgb="FF00B050"/>
      </colorScale>
    </cfRule>
  </conditionalFormatting>
  <conditionalFormatting sqref="V8">
    <cfRule type="colorScale" priority="71">
      <colorScale>
        <cfvo type="num" val="1"/>
        <cfvo type="num" val="2.5"/>
        <cfvo type="num" val="5"/>
        <color rgb="FFFF0000"/>
        <color rgb="FFFFEB84"/>
        <color rgb="FF00B050"/>
      </colorScale>
    </cfRule>
  </conditionalFormatting>
  <conditionalFormatting sqref="X8">
    <cfRule type="colorScale" priority="70">
      <colorScale>
        <cfvo type="num" val="1"/>
        <cfvo type="num" val="2.5"/>
        <cfvo type="num" val="5"/>
        <color rgb="FFFF0000"/>
        <color rgb="FFFFEB84"/>
        <color rgb="FF00B050"/>
      </colorScale>
    </cfRule>
  </conditionalFormatting>
  <conditionalFormatting sqref="AC5:AJ13">
    <cfRule type="cellIs" dxfId="22" priority="65" operator="equal">
      <formula>1</formula>
    </cfRule>
    <cfRule type="cellIs" dxfId="21" priority="66" operator="equal">
      <formula>2</formula>
    </cfRule>
    <cfRule type="cellIs" dxfId="20" priority="67" operator="equal">
      <formula>3</formula>
    </cfRule>
    <cfRule type="cellIs" dxfId="19" priority="68" operator="equal">
      <formula>5</formula>
    </cfRule>
    <cfRule type="cellIs" dxfId="18" priority="69" operator="equal">
      <formula>4</formula>
    </cfRule>
  </conditionalFormatting>
  <conditionalFormatting sqref="G5">
    <cfRule type="colorScale" priority="64">
      <colorScale>
        <cfvo type="num" val="1"/>
        <cfvo type="num" val="2.5"/>
        <cfvo type="num" val="5"/>
        <color rgb="FFFF0000"/>
        <color rgb="FFFFEB84"/>
        <color rgb="FF00B050"/>
      </colorScale>
    </cfRule>
  </conditionalFormatting>
  <conditionalFormatting sqref="K5">
    <cfRule type="colorScale" priority="63">
      <colorScale>
        <cfvo type="num" val="1"/>
        <cfvo type="num" val="2.5"/>
        <cfvo type="num" val="5"/>
        <color rgb="FFFF0000"/>
        <color rgb="FFFFEB84"/>
        <color rgb="FF00B050"/>
      </colorScale>
    </cfRule>
  </conditionalFormatting>
  <conditionalFormatting sqref="D5:D13 F5:F13 J5:J13 L5:L13 P5:P13 R5:R13 V5:V13 X5:X13">
    <cfRule type="cellIs" dxfId="17" priority="58" operator="equal">
      <formula>1</formula>
    </cfRule>
    <cfRule type="cellIs" dxfId="16" priority="59" operator="equal">
      <formula>2</formula>
    </cfRule>
    <cfRule type="cellIs" dxfId="15" priority="60" operator="equal">
      <formula>3</formula>
    </cfRule>
    <cfRule type="cellIs" dxfId="14" priority="61" operator="equal">
      <formula>4</formula>
    </cfRule>
    <cfRule type="cellIs" dxfId="13" priority="62" operator="equal">
      <formula>5</formula>
    </cfRule>
  </conditionalFormatting>
  <conditionalFormatting sqref="M5">
    <cfRule type="colorScale" priority="57">
      <colorScale>
        <cfvo type="num" val="1"/>
        <cfvo type="num" val="2.5"/>
        <cfvo type="num" val="5"/>
        <color rgb="FFFF0000"/>
        <color rgb="FFFFEB84"/>
        <color rgb="FF00B050"/>
      </colorScale>
    </cfRule>
  </conditionalFormatting>
  <conditionalFormatting sqref="Q5">
    <cfRule type="colorScale" priority="56">
      <colorScale>
        <cfvo type="num" val="1"/>
        <cfvo type="num" val="2.5"/>
        <cfvo type="num" val="5"/>
        <color rgb="FFFF0000"/>
        <color rgb="FFFFEB84"/>
        <color rgb="FF00B050"/>
      </colorScale>
    </cfRule>
  </conditionalFormatting>
  <conditionalFormatting sqref="W5">
    <cfRule type="colorScale" priority="55">
      <colorScale>
        <cfvo type="num" val="1"/>
        <cfvo type="num" val="2.5"/>
        <cfvo type="num" val="5"/>
        <color rgb="FFFF0000"/>
        <color rgb="FFFFEB84"/>
        <color rgb="FF00B050"/>
      </colorScale>
    </cfRule>
  </conditionalFormatting>
  <conditionalFormatting sqref="S5">
    <cfRule type="colorScale" priority="54">
      <colorScale>
        <cfvo type="num" val="1"/>
        <cfvo type="num" val="2.5"/>
        <cfvo type="num" val="5"/>
        <color rgb="FFFF0000"/>
        <color rgb="FFFFEB84"/>
        <color rgb="FF00B050"/>
      </colorScale>
    </cfRule>
  </conditionalFormatting>
  <conditionalFormatting sqref="Y5">
    <cfRule type="colorScale" priority="53">
      <colorScale>
        <cfvo type="num" val="1"/>
        <cfvo type="num" val="2.5"/>
        <cfvo type="num" val="5"/>
        <color rgb="FFFF0000"/>
        <color rgb="FFFFEB84"/>
        <color rgb="FF00B050"/>
      </colorScale>
    </cfRule>
  </conditionalFormatting>
  <conditionalFormatting sqref="Q6">
    <cfRule type="colorScale" priority="52">
      <colorScale>
        <cfvo type="num" val="1"/>
        <cfvo type="num" val="2.5"/>
        <cfvo type="num" val="5"/>
        <color rgb="FFFF0000"/>
        <color rgb="FFFFEB84"/>
        <color rgb="FF00B050"/>
      </colorScale>
    </cfRule>
  </conditionalFormatting>
  <conditionalFormatting sqref="W6">
    <cfRule type="colorScale" priority="51">
      <colorScale>
        <cfvo type="num" val="1"/>
        <cfvo type="num" val="2.5"/>
        <cfvo type="num" val="5"/>
        <color rgb="FFFF0000"/>
        <color rgb="FFFFEB84"/>
        <color rgb="FF00B050"/>
      </colorScale>
    </cfRule>
  </conditionalFormatting>
  <conditionalFormatting sqref="M6">
    <cfRule type="colorScale" priority="50">
      <colorScale>
        <cfvo type="num" val="1"/>
        <cfvo type="num" val="2.5"/>
        <cfvo type="num" val="5"/>
        <color rgb="FFFF0000"/>
        <color rgb="FFFFEB84"/>
        <color rgb="FF00B050"/>
      </colorScale>
    </cfRule>
  </conditionalFormatting>
  <conditionalFormatting sqref="S6">
    <cfRule type="colorScale" priority="49">
      <colorScale>
        <cfvo type="num" val="1"/>
        <cfvo type="num" val="2.5"/>
        <cfvo type="num" val="5"/>
        <color rgb="FFFF0000"/>
        <color rgb="FFFFEB84"/>
        <color rgb="FF00B050"/>
      </colorScale>
    </cfRule>
  </conditionalFormatting>
  <conditionalFormatting sqref="Y6">
    <cfRule type="colorScale" priority="48">
      <colorScale>
        <cfvo type="num" val="1"/>
        <cfvo type="num" val="2.5"/>
        <cfvo type="num" val="5"/>
        <color rgb="FFFF0000"/>
        <color rgb="FFFFEB84"/>
        <color rgb="FF00B050"/>
      </colorScale>
    </cfRule>
  </conditionalFormatting>
  <conditionalFormatting sqref="G6">
    <cfRule type="colorScale" priority="47">
      <colorScale>
        <cfvo type="num" val="1"/>
        <cfvo type="num" val="2.5"/>
        <cfvo type="num" val="5"/>
        <color rgb="FFFF0000"/>
        <color rgb="FFFFEB84"/>
        <color rgb="FF00B050"/>
      </colorScale>
    </cfRule>
  </conditionalFormatting>
  <conditionalFormatting sqref="S7">
    <cfRule type="colorScale" priority="46">
      <colorScale>
        <cfvo type="num" val="1"/>
        <cfvo type="num" val="2.5"/>
        <cfvo type="num" val="5"/>
        <color rgb="FFFF0000"/>
        <color rgb="FFFFEB84"/>
        <color rgb="FF00B050"/>
      </colorScale>
    </cfRule>
  </conditionalFormatting>
  <conditionalFormatting sqref="M7">
    <cfRule type="colorScale" priority="45">
      <colorScale>
        <cfvo type="num" val="1"/>
        <cfvo type="num" val="2.5"/>
        <cfvo type="num" val="5"/>
        <color rgb="FFFF0000"/>
        <color rgb="FFFFEB84"/>
        <color rgb="FF00B050"/>
      </colorScale>
    </cfRule>
  </conditionalFormatting>
  <conditionalFormatting sqref="Q7">
    <cfRule type="colorScale" priority="44">
      <colorScale>
        <cfvo type="num" val="1"/>
        <cfvo type="num" val="2.5"/>
        <cfvo type="num" val="5"/>
        <color rgb="FFFF0000"/>
        <color rgb="FFFFEB84"/>
        <color rgb="FF00B050"/>
      </colorScale>
    </cfRule>
  </conditionalFormatting>
  <conditionalFormatting sqref="K7">
    <cfRule type="colorScale" priority="43">
      <colorScale>
        <cfvo type="num" val="1"/>
        <cfvo type="num" val="2.5"/>
        <cfvo type="num" val="5"/>
        <color rgb="FFFF0000"/>
        <color rgb="FFFFEB84"/>
        <color rgb="FF00B050"/>
      </colorScale>
    </cfRule>
  </conditionalFormatting>
  <conditionalFormatting sqref="E7">
    <cfRule type="colorScale" priority="42">
      <colorScale>
        <cfvo type="num" val="1"/>
        <cfvo type="num" val="2.5"/>
        <cfvo type="num" val="5"/>
        <color rgb="FFFF0000"/>
        <color rgb="FFFFEB84"/>
        <color rgb="FF00B050"/>
      </colorScale>
    </cfRule>
  </conditionalFormatting>
  <conditionalFormatting sqref="G7">
    <cfRule type="colorScale" priority="41">
      <colorScale>
        <cfvo type="num" val="1"/>
        <cfvo type="num" val="2.5"/>
        <cfvo type="num" val="5"/>
        <color rgb="FFFF0000"/>
        <color rgb="FFFFEB84"/>
        <color rgb="FF00B050"/>
      </colorScale>
    </cfRule>
  </conditionalFormatting>
  <conditionalFormatting sqref="E8">
    <cfRule type="colorScale" priority="40">
      <colorScale>
        <cfvo type="num" val="1"/>
        <cfvo type="num" val="2.5"/>
        <cfvo type="num" val="5"/>
        <color rgb="FFFF0000"/>
        <color rgb="FFFFEB84"/>
        <color rgb="FF00B050"/>
      </colorScale>
    </cfRule>
  </conditionalFormatting>
  <conditionalFormatting sqref="G8">
    <cfRule type="colorScale" priority="39">
      <colorScale>
        <cfvo type="num" val="1"/>
        <cfvo type="num" val="2.5"/>
        <cfvo type="num" val="5"/>
        <color rgb="FFFF0000"/>
        <color rgb="FFFFEB84"/>
        <color rgb="FF00B050"/>
      </colorScale>
    </cfRule>
  </conditionalFormatting>
  <conditionalFormatting sqref="M8">
    <cfRule type="colorScale" priority="38">
      <colorScale>
        <cfvo type="num" val="1"/>
        <cfvo type="num" val="2.5"/>
        <cfvo type="num" val="5"/>
        <color rgb="FFFF0000"/>
        <color rgb="FFFFEB84"/>
        <color rgb="FF00B050"/>
      </colorScale>
    </cfRule>
  </conditionalFormatting>
  <conditionalFormatting sqref="Q8">
    <cfRule type="colorScale" priority="37">
      <colorScale>
        <cfvo type="num" val="1"/>
        <cfvo type="num" val="2.5"/>
        <cfvo type="num" val="5"/>
        <color rgb="FFFF0000"/>
        <color rgb="FFFFEB84"/>
        <color rgb="FF00B050"/>
      </colorScale>
    </cfRule>
  </conditionalFormatting>
  <conditionalFormatting sqref="S8">
    <cfRule type="colorScale" priority="36">
      <colorScale>
        <cfvo type="num" val="1"/>
        <cfvo type="num" val="2.5"/>
        <cfvo type="num" val="5"/>
        <color rgb="FFFF0000"/>
        <color rgb="FFFFEB84"/>
        <color rgb="FF00B050"/>
      </colorScale>
    </cfRule>
  </conditionalFormatting>
  <conditionalFormatting sqref="W8">
    <cfRule type="colorScale" priority="35">
      <colorScale>
        <cfvo type="num" val="1"/>
        <cfvo type="num" val="2.5"/>
        <cfvo type="num" val="5"/>
        <color rgb="FFFF0000"/>
        <color rgb="FFFFEB84"/>
        <color rgb="FF00B050"/>
      </colorScale>
    </cfRule>
  </conditionalFormatting>
  <conditionalFormatting sqref="Y8">
    <cfRule type="colorScale" priority="34">
      <colorScale>
        <cfvo type="num" val="1"/>
        <cfvo type="num" val="2.5"/>
        <cfvo type="num" val="5"/>
        <color rgb="FFFF0000"/>
        <color rgb="FFFFEB84"/>
        <color rgb="FF00B050"/>
      </colorScale>
    </cfRule>
  </conditionalFormatting>
  <conditionalFormatting sqref="Y10">
    <cfRule type="colorScale" priority="33">
      <colorScale>
        <cfvo type="num" val="1"/>
        <cfvo type="num" val="2.5"/>
        <cfvo type="num" val="5"/>
        <color rgb="FFFF0000"/>
        <color rgb="FFFFEB84"/>
        <color rgb="FF00B050"/>
      </colorScale>
    </cfRule>
  </conditionalFormatting>
  <conditionalFormatting sqref="E10">
    <cfRule type="colorScale" priority="32">
      <colorScale>
        <cfvo type="num" val="1"/>
        <cfvo type="num" val="2.5"/>
        <cfvo type="num" val="5"/>
        <color rgb="FFFF0000"/>
        <color rgb="FFFFEB84"/>
        <color rgb="FF00B050"/>
      </colorScale>
    </cfRule>
  </conditionalFormatting>
  <conditionalFormatting sqref="G13">
    <cfRule type="colorScale" priority="31">
      <colorScale>
        <cfvo type="num" val="1"/>
        <cfvo type="num" val="2.5"/>
        <cfvo type="num" val="5"/>
        <color rgb="FFFF0000"/>
        <color rgb="FFFFEB84"/>
        <color rgb="FF00B050"/>
      </colorScale>
    </cfRule>
  </conditionalFormatting>
  <conditionalFormatting sqref="M13">
    <cfRule type="colorScale" priority="30">
      <colorScale>
        <cfvo type="num" val="1"/>
        <cfvo type="num" val="2.5"/>
        <cfvo type="num" val="5"/>
        <color rgb="FFFF0000"/>
        <color rgb="FFFFEB84"/>
        <color rgb="FF00B050"/>
      </colorScale>
    </cfRule>
  </conditionalFormatting>
  <conditionalFormatting sqref="S13">
    <cfRule type="colorScale" priority="29">
      <colorScale>
        <cfvo type="num" val="1"/>
        <cfvo type="num" val="2.5"/>
        <cfvo type="num" val="5"/>
        <color rgb="FFFF0000"/>
        <color rgb="FFFFEB84"/>
        <color rgb="FF00B050"/>
      </colorScale>
    </cfRule>
  </conditionalFormatting>
  <conditionalFormatting sqref="W13">
    <cfRule type="colorScale" priority="28">
      <colorScale>
        <cfvo type="num" val="1"/>
        <cfvo type="num" val="2.5"/>
        <cfvo type="num" val="5"/>
        <color rgb="FFFF0000"/>
        <color rgb="FFFFEB84"/>
        <color rgb="FF00B050"/>
      </colorScale>
    </cfRule>
  </conditionalFormatting>
  <conditionalFormatting sqref="Y13">
    <cfRule type="colorScale" priority="27">
      <colorScale>
        <cfvo type="num" val="1"/>
        <cfvo type="num" val="2.5"/>
        <cfvo type="num" val="5"/>
        <color rgb="FFFF0000"/>
        <color rgb="FFFFEB84"/>
        <color rgb="FF00B050"/>
      </colorScale>
    </cfRule>
  </conditionalFormatting>
  <conditionalFormatting sqref="K13">
    <cfRule type="colorScale" priority="26">
      <colorScale>
        <cfvo type="num" val="1"/>
        <cfvo type="num" val="2.5"/>
        <cfvo type="num" val="5"/>
        <color rgb="FFFF0000"/>
        <color rgb="FFFFEB84"/>
        <color rgb="FF00B050"/>
      </colorScale>
    </cfRule>
  </conditionalFormatting>
  <conditionalFormatting sqref="E13">
    <cfRule type="colorScale" priority="25">
      <colorScale>
        <cfvo type="num" val="1"/>
        <cfvo type="num" val="2.5"/>
        <cfvo type="num" val="5"/>
        <color rgb="FFFF0000"/>
        <color rgb="FFFFEB84"/>
        <color rgb="FF00B050"/>
      </colorScale>
    </cfRule>
  </conditionalFormatting>
  <conditionalFormatting sqref="G11">
    <cfRule type="colorScale" priority="24">
      <colorScale>
        <cfvo type="num" val="1"/>
        <cfvo type="num" val="2.5"/>
        <cfvo type="num" val="5"/>
        <color rgb="FFFF0000"/>
        <color rgb="FFFFEB84"/>
        <color rgb="FF00B050"/>
      </colorScale>
    </cfRule>
  </conditionalFormatting>
  <conditionalFormatting sqref="M11">
    <cfRule type="colorScale" priority="23">
      <colorScale>
        <cfvo type="num" val="1"/>
        <cfvo type="num" val="2.5"/>
        <cfvo type="num" val="5"/>
        <color rgb="FFFF0000"/>
        <color rgb="FFFFEB84"/>
        <color rgb="FF00B050"/>
      </colorScale>
    </cfRule>
  </conditionalFormatting>
  <conditionalFormatting sqref="Q11">
    <cfRule type="colorScale" priority="22">
      <colorScale>
        <cfvo type="num" val="1"/>
        <cfvo type="num" val="2.5"/>
        <cfvo type="num" val="5"/>
        <color rgb="FFFF0000"/>
        <color rgb="FFFFEB84"/>
        <color rgb="FF00B050"/>
      </colorScale>
    </cfRule>
  </conditionalFormatting>
  <conditionalFormatting sqref="S11">
    <cfRule type="colorScale" priority="21">
      <colorScale>
        <cfvo type="num" val="1"/>
        <cfvo type="num" val="2.5"/>
        <cfvo type="num" val="5"/>
        <color rgb="FFFF0000"/>
        <color rgb="FFFFEB84"/>
        <color rgb="FF00B050"/>
      </colorScale>
    </cfRule>
  </conditionalFormatting>
  <conditionalFormatting sqref="W11">
    <cfRule type="colorScale" priority="20">
      <colorScale>
        <cfvo type="num" val="1"/>
        <cfvo type="num" val="2.5"/>
        <cfvo type="num" val="5"/>
        <color rgb="FFFF0000"/>
        <color rgb="FFFFEB84"/>
        <color rgb="FF00B050"/>
      </colorScale>
    </cfRule>
  </conditionalFormatting>
  <conditionalFormatting sqref="Y11">
    <cfRule type="colorScale" priority="19">
      <colorScale>
        <cfvo type="num" val="1"/>
        <cfvo type="num" val="2.5"/>
        <cfvo type="num" val="5"/>
        <color rgb="FFFF0000"/>
        <color rgb="FFFFEB84"/>
        <color rgb="FF00B050"/>
      </colorScale>
    </cfRule>
  </conditionalFormatting>
  <conditionalFormatting sqref="K12">
    <cfRule type="colorScale" priority="18">
      <colorScale>
        <cfvo type="num" val="1"/>
        <cfvo type="num" val="2.5"/>
        <cfvo type="num" val="5"/>
        <color rgb="FFFF0000"/>
        <color rgb="FFFFEB84"/>
        <color rgb="FF00B050"/>
      </colorScale>
    </cfRule>
  </conditionalFormatting>
  <conditionalFormatting sqref="G9">
    <cfRule type="colorScale" priority="17">
      <colorScale>
        <cfvo type="num" val="1"/>
        <cfvo type="num" val="2.5"/>
        <cfvo type="num" val="5"/>
        <color rgb="FFFF0000"/>
        <color rgb="FFFFEB84"/>
        <color rgb="FF00B050"/>
      </colorScale>
    </cfRule>
  </conditionalFormatting>
  <conditionalFormatting sqref="M9">
    <cfRule type="colorScale" priority="16">
      <colorScale>
        <cfvo type="num" val="1"/>
        <cfvo type="num" val="2.5"/>
        <cfvo type="num" val="5"/>
        <color rgb="FFFF0000"/>
        <color rgb="FFFFEB84"/>
        <color rgb="FF00B050"/>
      </colorScale>
    </cfRule>
  </conditionalFormatting>
  <conditionalFormatting sqref="Q9">
    <cfRule type="colorScale" priority="15">
      <colorScale>
        <cfvo type="num" val="1"/>
        <cfvo type="num" val="2.5"/>
        <cfvo type="num" val="5"/>
        <color rgb="FFFF0000"/>
        <color rgb="FFFFEB84"/>
        <color rgb="FF00B050"/>
      </colorScale>
    </cfRule>
  </conditionalFormatting>
  <conditionalFormatting sqref="S9">
    <cfRule type="colorScale" priority="14">
      <colorScale>
        <cfvo type="num" val="1"/>
        <cfvo type="num" val="2.5"/>
        <cfvo type="num" val="5"/>
        <color rgb="FFFF0000"/>
        <color rgb="FFFFEB84"/>
        <color rgb="FF00B050"/>
      </colorScale>
    </cfRule>
  </conditionalFormatting>
  <conditionalFormatting sqref="W9">
    <cfRule type="colorScale" priority="13">
      <colorScale>
        <cfvo type="num" val="1"/>
        <cfvo type="num" val="2.5"/>
        <cfvo type="num" val="5"/>
        <color rgb="FFFF0000"/>
        <color rgb="FFFFEB84"/>
        <color rgb="FF00B050"/>
      </colorScale>
    </cfRule>
  </conditionalFormatting>
  <conditionalFormatting sqref="Y9">
    <cfRule type="colorScale" priority="12">
      <colorScale>
        <cfvo type="num" val="1"/>
        <cfvo type="num" val="2.5"/>
        <cfvo type="num" val="5"/>
        <color rgb="FFFF0000"/>
        <color rgb="FFFFEB84"/>
        <color rgb="FF00B050"/>
      </colorScale>
    </cfRule>
  </conditionalFormatting>
  <conditionalFormatting sqref="W10">
    <cfRule type="colorScale" priority="11">
      <colorScale>
        <cfvo type="num" val="1"/>
        <cfvo type="num" val="2.5"/>
        <cfvo type="num" val="5"/>
        <color rgb="FFFF0000"/>
        <color rgb="FFFFEB84"/>
        <color rgb="FF00B050"/>
      </colorScale>
    </cfRule>
  </conditionalFormatting>
  <conditionalFormatting sqref="G10">
    <cfRule type="colorScale" priority="10">
      <colorScale>
        <cfvo type="num" val="1"/>
        <cfvo type="num" val="2.5"/>
        <cfvo type="num" val="5"/>
        <color rgb="FFFF0000"/>
        <color rgb="FFFFEB84"/>
        <color rgb="FF00B050"/>
      </colorScale>
    </cfRule>
  </conditionalFormatting>
  <conditionalFormatting sqref="M12">
    <cfRule type="colorScale" priority="9">
      <colorScale>
        <cfvo type="num" val="1"/>
        <cfvo type="num" val="2.5"/>
        <cfvo type="num" val="5"/>
        <color rgb="FFFF0000"/>
        <color rgb="FFFFEB84"/>
        <color rgb="FF00B050"/>
      </colorScale>
    </cfRule>
  </conditionalFormatting>
  <conditionalFormatting sqref="Q12">
    <cfRule type="colorScale" priority="8">
      <colorScale>
        <cfvo type="num" val="1"/>
        <cfvo type="num" val="2.5"/>
        <cfvo type="num" val="5"/>
        <color rgb="FFFF0000"/>
        <color rgb="FFFFEB84"/>
        <color rgb="FF00B050"/>
      </colorScale>
    </cfRule>
  </conditionalFormatting>
  <conditionalFormatting sqref="S12">
    <cfRule type="colorScale" priority="7">
      <colorScale>
        <cfvo type="num" val="1"/>
        <cfvo type="num" val="2.5"/>
        <cfvo type="num" val="5"/>
        <color rgb="FFFF0000"/>
        <color rgb="FFFFEB84"/>
        <color rgb="FF00B050"/>
      </colorScale>
    </cfRule>
  </conditionalFormatting>
  <conditionalFormatting sqref="W12">
    <cfRule type="colorScale" priority="6">
      <colorScale>
        <cfvo type="num" val="1"/>
        <cfvo type="num" val="2.5"/>
        <cfvo type="num" val="5"/>
        <color rgb="FFFF0000"/>
        <color rgb="FFFFEB84"/>
        <color rgb="FF00B050"/>
      </colorScale>
    </cfRule>
  </conditionalFormatting>
  <conditionalFormatting sqref="Y12">
    <cfRule type="colorScale" priority="5">
      <colorScale>
        <cfvo type="num" val="1"/>
        <cfvo type="num" val="2.5"/>
        <cfvo type="num" val="5"/>
        <color rgb="FFFF0000"/>
        <color rgb="FFFFEB84"/>
        <color rgb="FF00B050"/>
      </colorScale>
    </cfRule>
  </conditionalFormatting>
  <conditionalFormatting sqref="S10">
    <cfRule type="colorScale" priority="4">
      <colorScale>
        <cfvo type="num" val="1"/>
        <cfvo type="num" val="2.5"/>
        <cfvo type="num" val="5"/>
        <color rgb="FFFF0000"/>
        <color rgb="FFFFEB84"/>
        <color rgb="FF00B050"/>
      </colorScale>
    </cfRule>
  </conditionalFormatting>
  <conditionalFormatting sqref="Q10">
    <cfRule type="colorScale" priority="3">
      <colorScale>
        <cfvo type="num" val="1"/>
        <cfvo type="num" val="2.5"/>
        <cfvo type="num" val="5"/>
        <color rgb="FFFF0000"/>
        <color rgb="FFFFEB84"/>
        <color rgb="FF00B050"/>
      </colorScale>
    </cfRule>
  </conditionalFormatting>
  <conditionalFormatting sqref="M10">
    <cfRule type="colorScale" priority="2">
      <colorScale>
        <cfvo type="num" val="1"/>
        <cfvo type="num" val="2.5"/>
        <cfvo type="num" val="5"/>
        <color rgb="FFFF0000"/>
        <color rgb="FFFFEB84"/>
        <color rgb="FF00B050"/>
      </colorScale>
    </cfRule>
  </conditionalFormatting>
  <conditionalFormatting sqref="K10">
    <cfRule type="colorScale" priority="1">
      <colorScale>
        <cfvo type="num" val="1"/>
        <cfvo type="num" val="2.5"/>
        <cfvo type="num" val="5"/>
        <color rgb="FFFF0000"/>
        <color rgb="FFFFEB84"/>
        <color rgb="FF00B050"/>
      </colorScale>
    </cfRule>
  </conditionalFormatting>
  <pageMargins left="0.7" right="0.7" top="0.75" bottom="0.75" header="0.3" footer="0.3"/>
  <pageSetup paperSize="9" scale="13" orientation="landscape"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59D83-188B-4B7F-A216-69D2E03F40CE}">
  <sheetPr>
    <tabColor rgb="FF456D2D"/>
  </sheetPr>
  <dimension ref="A1:U212"/>
  <sheetViews>
    <sheetView view="pageBreakPreview" topLeftCell="E1" zoomScale="90" zoomScaleNormal="100" zoomScaleSheetLayoutView="90" workbookViewId="0">
      <selection activeCell="T150" sqref="T150"/>
    </sheetView>
  </sheetViews>
  <sheetFormatPr defaultRowHeight="14.4" x14ac:dyDescent="0.3"/>
  <cols>
    <col min="1" max="1" width="3.33203125" customWidth="1"/>
  </cols>
  <sheetData>
    <row r="1" spans="1:14" ht="22.2" x14ac:dyDescent="0.35">
      <c r="A1" s="64" t="s">
        <v>102</v>
      </c>
      <c r="B1" s="63"/>
      <c r="C1" s="62"/>
      <c r="D1" s="62"/>
      <c r="E1" s="62"/>
      <c r="F1" s="62"/>
      <c r="G1" s="62"/>
      <c r="H1" s="62"/>
      <c r="I1" s="62"/>
      <c r="J1" s="62"/>
      <c r="K1" s="62"/>
      <c r="L1" s="62"/>
      <c r="M1" s="62"/>
      <c r="N1" s="62"/>
    </row>
    <row r="2" spans="1:14" x14ac:dyDescent="0.3">
      <c r="A2" s="65">
        <v>1</v>
      </c>
      <c r="B2" s="65" t="s">
        <v>103</v>
      </c>
      <c r="C2" s="65"/>
      <c r="D2" s="65"/>
      <c r="E2" s="65"/>
      <c r="F2" s="65"/>
      <c r="G2" s="66"/>
      <c r="H2" s="66"/>
      <c r="I2" s="66"/>
      <c r="J2" s="66"/>
      <c r="K2" s="66"/>
      <c r="L2" s="66"/>
      <c r="M2" s="66"/>
      <c r="N2" s="66"/>
    </row>
    <row r="3" spans="1:14" x14ac:dyDescent="0.3">
      <c r="A3" s="67"/>
      <c r="B3" s="67"/>
      <c r="C3" s="67"/>
      <c r="D3" s="67"/>
      <c r="E3" s="67"/>
      <c r="F3" s="67"/>
      <c r="G3" s="67"/>
      <c r="H3" s="67"/>
      <c r="I3" s="67"/>
      <c r="J3" s="67"/>
      <c r="K3" s="67"/>
      <c r="L3" s="67"/>
      <c r="M3" s="67"/>
      <c r="N3" s="67"/>
    </row>
    <row r="4" spans="1:14" x14ac:dyDescent="0.3">
      <c r="A4" s="67"/>
      <c r="B4" s="67"/>
      <c r="C4" s="67"/>
      <c r="D4" s="67"/>
      <c r="E4" s="67"/>
      <c r="F4" s="67"/>
      <c r="G4" s="67"/>
      <c r="H4" s="67"/>
      <c r="I4" s="67"/>
      <c r="J4" s="67"/>
      <c r="K4" s="67"/>
      <c r="L4" s="67"/>
      <c r="M4" s="67"/>
      <c r="N4" s="67"/>
    </row>
    <row r="5" spans="1:14" x14ac:dyDescent="0.3">
      <c r="A5" s="67"/>
      <c r="B5" s="67"/>
      <c r="C5" s="67"/>
      <c r="D5" s="67"/>
      <c r="E5" s="67"/>
      <c r="F5" s="67"/>
      <c r="G5" s="67"/>
      <c r="H5" s="67"/>
      <c r="I5" s="67"/>
      <c r="J5" s="67"/>
      <c r="K5" s="67"/>
      <c r="L5" s="67"/>
      <c r="M5" s="67"/>
      <c r="N5" s="67"/>
    </row>
    <row r="6" spans="1:14" x14ac:dyDescent="0.3">
      <c r="A6" s="67"/>
      <c r="B6" s="67"/>
      <c r="C6" s="67"/>
      <c r="D6" s="67"/>
      <c r="E6" s="67"/>
      <c r="F6" s="67"/>
      <c r="G6" s="67"/>
      <c r="H6" s="67"/>
      <c r="I6" s="67"/>
      <c r="J6" s="67"/>
      <c r="K6" s="67"/>
      <c r="L6" s="67"/>
      <c r="M6" s="67"/>
      <c r="N6" s="67"/>
    </row>
    <row r="7" spans="1:14" x14ac:dyDescent="0.3">
      <c r="A7" s="67"/>
      <c r="B7" s="67"/>
      <c r="C7" s="67"/>
      <c r="D7" s="67"/>
      <c r="E7" s="67"/>
      <c r="F7" s="67"/>
      <c r="G7" s="67"/>
      <c r="H7" s="67"/>
      <c r="I7" s="67"/>
      <c r="J7" s="67"/>
      <c r="K7" s="67"/>
      <c r="L7" s="67"/>
      <c r="M7" s="67"/>
      <c r="N7" s="67"/>
    </row>
    <row r="8" spans="1:14" x14ac:dyDescent="0.3">
      <c r="A8" s="67"/>
      <c r="B8" s="67"/>
      <c r="C8" s="67"/>
      <c r="D8" s="67"/>
      <c r="E8" s="67"/>
      <c r="F8" s="67"/>
      <c r="G8" s="67"/>
      <c r="H8" s="67"/>
      <c r="I8" s="67"/>
      <c r="J8" s="67"/>
      <c r="K8" s="67"/>
      <c r="L8" s="67"/>
      <c r="M8" s="67"/>
      <c r="N8" s="67"/>
    </row>
    <row r="9" spans="1:14" x14ac:dyDescent="0.3">
      <c r="A9" s="67"/>
      <c r="B9" s="67"/>
      <c r="C9" s="67"/>
      <c r="D9" s="67"/>
      <c r="E9" s="67"/>
      <c r="F9" s="67"/>
      <c r="G9" s="67"/>
      <c r="H9" s="67"/>
      <c r="I9" s="67"/>
      <c r="J9" s="67"/>
      <c r="K9" s="67"/>
      <c r="L9" s="67"/>
      <c r="M9" s="67"/>
      <c r="N9" s="67"/>
    </row>
    <row r="10" spans="1:14" x14ac:dyDescent="0.3">
      <c r="A10" s="67"/>
      <c r="B10" s="67"/>
      <c r="C10" s="67"/>
      <c r="D10" s="67"/>
      <c r="E10" s="67"/>
      <c r="F10" s="67"/>
      <c r="G10" s="67"/>
      <c r="H10" s="67"/>
      <c r="I10" s="67"/>
      <c r="J10" s="67"/>
      <c r="K10" s="67"/>
      <c r="L10" s="67"/>
      <c r="M10" s="67"/>
      <c r="N10" s="67"/>
    </row>
    <row r="11" spans="1:14" x14ac:dyDescent="0.3">
      <c r="A11" s="67"/>
      <c r="B11" s="67"/>
      <c r="C11" s="67"/>
      <c r="D11" s="67"/>
      <c r="E11" s="67"/>
      <c r="F11" s="67"/>
      <c r="G11" s="67"/>
      <c r="H11" s="67"/>
      <c r="I11" s="67"/>
      <c r="J11" s="67"/>
      <c r="K11" s="67"/>
      <c r="L11" s="67"/>
      <c r="M11" s="67"/>
      <c r="N11" s="67"/>
    </row>
    <row r="12" spans="1:14" x14ac:dyDescent="0.3">
      <c r="A12" s="67"/>
      <c r="B12" s="67"/>
      <c r="C12" s="67"/>
      <c r="D12" s="67"/>
      <c r="E12" s="67"/>
      <c r="F12" s="67"/>
      <c r="G12" s="67"/>
      <c r="H12" s="67"/>
      <c r="I12" s="67"/>
      <c r="J12" s="67"/>
      <c r="K12" s="67"/>
      <c r="L12" s="67"/>
      <c r="M12" s="67"/>
      <c r="N12" s="67"/>
    </row>
    <row r="13" spans="1:14" x14ac:dyDescent="0.3">
      <c r="A13" s="67"/>
      <c r="B13" s="67"/>
      <c r="C13" s="67"/>
      <c r="D13" s="67"/>
      <c r="E13" s="67"/>
      <c r="F13" s="67"/>
      <c r="G13" s="67"/>
      <c r="H13" s="67"/>
      <c r="I13" s="67"/>
      <c r="J13" s="67"/>
      <c r="K13" s="67"/>
      <c r="L13" s="67"/>
      <c r="M13" s="67"/>
      <c r="N13" s="67"/>
    </row>
    <row r="14" spans="1:14" x14ac:dyDescent="0.3">
      <c r="A14" s="67"/>
      <c r="B14" s="67"/>
      <c r="C14" s="67"/>
      <c r="D14" s="67"/>
      <c r="E14" s="67"/>
      <c r="F14" s="67"/>
      <c r="G14" s="67"/>
      <c r="H14" s="67"/>
      <c r="I14" s="67"/>
      <c r="J14" s="67"/>
      <c r="K14" s="67"/>
      <c r="L14" s="67"/>
      <c r="M14" s="67"/>
      <c r="N14" s="67"/>
    </row>
    <row r="15" spans="1:14" x14ac:dyDescent="0.3">
      <c r="A15" s="67"/>
      <c r="B15" s="67"/>
      <c r="C15" s="67"/>
      <c r="D15" s="67"/>
      <c r="E15" s="67"/>
      <c r="F15" s="67"/>
      <c r="G15" s="67"/>
      <c r="H15" s="67"/>
      <c r="I15" s="67"/>
      <c r="J15" s="67"/>
      <c r="K15" s="67"/>
      <c r="L15" s="67"/>
      <c r="M15" s="67"/>
      <c r="N15" s="67"/>
    </row>
    <row r="16" spans="1:14" x14ac:dyDescent="0.3">
      <c r="A16" s="67"/>
      <c r="B16" s="67"/>
      <c r="C16" s="67"/>
      <c r="D16" s="67"/>
      <c r="E16" s="67"/>
      <c r="F16" s="67"/>
      <c r="G16" s="67"/>
      <c r="H16" s="67"/>
      <c r="I16" s="67"/>
      <c r="J16" s="67"/>
      <c r="K16" s="67"/>
      <c r="L16" s="67"/>
      <c r="M16" s="67"/>
      <c r="N16" s="67"/>
    </row>
    <row r="17" spans="1:14" x14ac:dyDescent="0.3">
      <c r="A17" s="67"/>
      <c r="B17" s="67"/>
      <c r="C17" s="67"/>
      <c r="D17" s="67"/>
      <c r="E17" s="67"/>
      <c r="F17" s="67"/>
      <c r="G17" s="67"/>
      <c r="H17" s="67"/>
      <c r="I17" s="67"/>
      <c r="J17" s="67"/>
      <c r="K17" s="67"/>
      <c r="L17" s="67"/>
      <c r="M17" s="67"/>
      <c r="N17" s="67"/>
    </row>
    <row r="18" spans="1:14" x14ac:dyDescent="0.3">
      <c r="A18" s="67"/>
      <c r="B18" s="67"/>
      <c r="C18" s="67"/>
      <c r="D18" s="67"/>
      <c r="E18" s="67"/>
      <c r="F18" s="67"/>
      <c r="G18" s="67"/>
      <c r="H18" s="67"/>
      <c r="I18" s="67"/>
      <c r="J18" s="67"/>
      <c r="K18" s="67"/>
      <c r="L18" s="67"/>
      <c r="M18" s="67"/>
      <c r="N18" s="67"/>
    </row>
    <row r="19" spans="1:14" x14ac:dyDescent="0.3">
      <c r="A19" s="67"/>
      <c r="B19" s="67"/>
      <c r="C19" s="67"/>
      <c r="D19" s="67"/>
      <c r="E19" s="67"/>
      <c r="F19" s="67"/>
      <c r="G19" s="67"/>
      <c r="H19" s="67"/>
      <c r="I19" s="67"/>
      <c r="J19" s="67"/>
      <c r="K19" s="67"/>
      <c r="L19" s="67"/>
      <c r="M19" s="67"/>
      <c r="N19" s="67"/>
    </row>
    <row r="20" spans="1:14" x14ac:dyDescent="0.3">
      <c r="A20" s="67"/>
      <c r="B20" s="67"/>
      <c r="C20" s="67"/>
      <c r="D20" s="67"/>
      <c r="E20" s="67"/>
      <c r="F20" s="67"/>
      <c r="G20" s="67"/>
      <c r="H20" s="67"/>
      <c r="I20" s="67"/>
      <c r="J20" s="67"/>
      <c r="K20" s="67"/>
      <c r="L20" s="67"/>
      <c r="M20" s="67"/>
      <c r="N20" s="67"/>
    </row>
    <row r="21" spans="1:14" x14ac:dyDescent="0.3">
      <c r="A21" s="67"/>
      <c r="B21" s="67"/>
      <c r="C21" s="67"/>
      <c r="D21" s="67"/>
      <c r="E21" s="67"/>
      <c r="F21" s="67"/>
      <c r="G21" s="67"/>
      <c r="H21" s="67"/>
      <c r="I21" s="67"/>
      <c r="J21" s="67"/>
      <c r="K21" s="67"/>
      <c r="L21" s="67"/>
      <c r="M21" s="67"/>
      <c r="N21" s="67"/>
    </row>
    <row r="22" spans="1:14" x14ac:dyDescent="0.3">
      <c r="A22" s="67"/>
      <c r="B22" s="67"/>
      <c r="C22" s="67"/>
      <c r="D22" s="67"/>
      <c r="E22" s="67"/>
      <c r="F22" s="67"/>
      <c r="G22" s="67"/>
      <c r="H22" s="67"/>
      <c r="I22" s="67"/>
      <c r="J22" s="67"/>
      <c r="K22" s="67"/>
      <c r="L22" s="67"/>
      <c r="M22" s="67"/>
      <c r="N22" s="67"/>
    </row>
    <row r="23" spans="1:14" x14ac:dyDescent="0.3">
      <c r="A23" s="67"/>
      <c r="B23" s="67"/>
      <c r="C23" s="67"/>
      <c r="D23" s="67"/>
      <c r="E23" s="67"/>
      <c r="F23" s="67"/>
      <c r="G23" s="67"/>
      <c r="H23" s="67"/>
      <c r="I23" s="67"/>
      <c r="J23" s="67"/>
      <c r="K23" s="67"/>
      <c r="L23" s="67"/>
      <c r="M23" s="67"/>
      <c r="N23" s="67"/>
    </row>
    <row r="24" spans="1:14" x14ac:dyDescent="0.3">
      <c r="A24" s="65">
        <v>2</v>
      </c>
      <c r="B24" s="65" t="s">
        <v>104</v>
      </c>
      <c r="C24" s="65"/>
      <c r="D24" s="65"/>
      <c r="E24" s="65"/>
      <c r="F24" s="65"/>
      <c r="G24" s="66"/>
      <c r="H24" s="66"/>
      <c r="I24" s="66"/>
      <c r="J24" s="66"/>
      <c r="K24" s="66"/>
      <c r="L24" s="66"/>
      <c r="M24" s="66"/>
      <c r="N24" s="66"/>
    </row>
    <row r="25" spans="1:14" x14ac:dyDescent="0.3">
      <c r="A25" s="67"/>
      <c r="B25" s="67"/>
      <c r="C25" s="67"/>
      <c r="D25" s="67"/>
      <c r="E25" s="67"/>
      <c r="F25" s="67"/>
      <c r="G25" s="67"/>
      <c r="H25" s="67"/>
      <c r="I25" s="67"/>
      <c r="J25" s="67"/>
      <c r="K25" s="67"/>
      <c r="L25" s="67"/>
      <c r="M25" s="67"/>
      <c r="N25" s="67"/>
    </row>
    <row r="26" spans="1:14" x14ac:dyDescent="0.3">
      <c r="A26" s="67"/>
      <c r="B26" s="67"/>
      <c r="C26" s="67"/>
      <c r="D26" s="67"/>
      <c r="E26" s="67"/>
      <c r="F26" s="67"/>
      <c r="G26" s="67"/>
      <c r="H26" s="67"/>
      <c r="I26" s="67"/>
      <c r="J26" s="67"/>
      <c r="K26" s="67"/>
      <c r="L26" s="67"/>
      <c r="M26" s="67"/>
      <c r="N26" s="67"/>
    </row>
    <row r="27" spans="1:14" x14ac:dyDescent="0.3">
      <c r="A27" s="67"/>
      <c r="B27" s="67"/>
      <c r="C27" s="67"/>
      <c r="D27" s="67"/>
      <c r="E27" s="67"/>
      <c r="F27" s="67"/>
      <c r="G27" s="67"/>
      <c r="H27" s="67"/>
      <c r="I27" s="67"/>
      <c r="J27" s="67"/>
      <c r="K27" s="67"/>
      <c r="L27" s="67"/>
      <c r="M27" s="67"/>
      <c r="N27" s="67"/>
    </row>
    <row r="28" spans="1:14" x14ac:dyDescent="0.3">
      <c r="A28" s="67"/>
      <c r="B28" s="67"/>
      <c r="C28" s="67"/>
      <c r="D28" s="67"/>
      <c r="E28" s="67"/>
      <c r="F28" s="67"/>
      <c r="G28" s="67"/>
      <c r="H28" s="67"/>
      <c r="I28" s="67"/>
      <c r="J28" s="67"/>
      <c r="K28" s="67"/>
      <c r="L28" s="67"/>
      <c r="M28" s="67"/>
      <c r="N28" s="67"/>
    </row>
    <row r="29" spans="1:14" x14ac:dyDescent="0.3">
      <c r="A29" s="67"/>
      <c r="B29" s="67"/>
      <c r="C29" s="67"/>
      <c r="D29" s="67"/>
      <c r="E29" s="67"/>
      <c r="F29" s="67"/>
      <c r="G29" s="67"/>
      <c r="H29" s="67"/>
      <c r="I29" s="67"/>
      <c r="J29" s="67"/>
      <c r="K29" s="67"/>
      <c r="L29" s="67"/>
      <c r="M29" s="67"/>
      <c r="N29" s="67"/>
    </row>
    <row r="30" spans="1:14" x14ac:dyDescent="0.3">
      <c r="A30" s="67"/>
      <c r="B30" s="67"/>
      <c r="C30" s="67"/>
      <c r="D30" s="67"/>
      <c r="E30" s="67"/>
      <c r="F30" s="67"/>
      <c r="G30" s="67"/>
      <c r="H30" s="67"/>
      <c r="I30" s="67"/>
      <c r="J30" s="67"/>
      <c r="K30" s="67"/>
      <c r="L30" s="67"/>
      <c r="M30" s="67"/>
      <c r="N30" s="67"/>
    </row>
    <row r="31" spans="1:14" x14ac:dyDescent="0.3">
      <c r="A31" s="67"/>
      <c r="B31" s="67"/>
      <c r="C31" s="67"/>
      <c r="D31" s="67"/>
      <c r="E31" s="67"/>
      <c r="F31" s="67"/>
      <c r="G31" s="67"/>
      <c r="H31" s="67"/>
      <c r="I31" s="67"/>
      <c r="J31" s="67"/>
      <c r="K31" s="67"/>
      <c r="L31" s="67"/>
      <c r="M31" s="67"/>
      <c r="N31" s="67"/>
    </row>
    <row r="32" spans="1:14" x14ac:dyDescent="0.3">
      <c r="A32" s="67"/>
      <c r="B32" s="67"/>
      <c r="C32" s="67"/>
      <c r="D32" s="67"/>
      <c r="E32" s="67"/>
      <c r="F32" s="67"/>
      <c r="G32" s="67"/>
      <c r="H32" s="67"/>
      <c r="I32" s="67"/>
      <c r="J32" s="67"/>
      <c r="K32" s="67"/>
      <c r="L32" s="67"/>
      <c r="M32" s="67"/>
      <c r="N32" s="67"/>
    </row>
    <row r="33" spans="1:14" x14ac:dyDescent="0.3">
      <c r="A33" s="67"/>
      <c r="B33" s="67"/>
      <c r="C33" s="67"/>
      <c r="D33" s="67"/>
      <c r="E33" s="67"/>
      <c r="F33" s="67"/>
      <c r="G33" s="67"/>
      <c r="H33" s="67"/>
      <c r="I33" s="67"/>
      <c r="J33" s="67"/>
      <c r="K33" s="67"/>
      <c r="L33" s="67"/>
      <c r="M33" s="67"/>
      <c r="N33" s="67"/>
    </row>
    <row r="34" spans="1:14" x14ac:dyDescent="0.3">
      <c r="A34" s="67"/>
      <c r="B34" s="67"/>
      <c r="C34" s="67"/>
      <c r="D34" s="67"/>
      <c r="E34" s="67"/>
      <c r="F34" s="67"/>
      <c r="G34" s="67"/>
      <c r="H34" s="67"/>
      <c r="I34" s="67"/>
      <c r="J34" s="67"/>
      <c r="K34" s="67"/>
      <c r="L34" s="67"/>
      <c r="M34" s="67"/>
      <c r="N34" s="67"/>
    </row>
    <row r="35" spans="1:14" x14ac:dyDescent="0.3">
      <c r="A35" s="67"/>
      <c r="B35" s="67"/>
      <c r="C35" s="67"/>
      <c r="D35" s="67"/>
      <c r="E35" s="67"/>
      <c r="F35" s="67"/>
      <c r="G35" s="67"/>
      <c r="H35" s="67"/>
      <c r="I35" s="67"/>
      <c r="J35" s="67"/>
      <c r="K35" s="67"/>
      <c r="L35" s="67"/>
      <c r="M35" s="67"/>
      <c r="N35" s="67"/>
    </row>
    <row r="36" spans="1:14" x14ac:dyDescent="0.3">
      <c r="A36" s="67"/>
      <c r="B36" s="67"/>
      <c r="C36" s="67"/>
      <c r="D36" s="67"/>
      <c r="E36" s="67"/>
      <c r="F36" s="67"/>
      <c r="G36" s="67"/>
      <c r="H36" s="67"/>
      <c r="I36" s="67"/>
      <c r="J36" s="67"/>
      <c r="K36" s="67"/>
      <c r="L36" s="67"/>
      <c r="M36" s="67"/>
      <c r="N36" s="67"/>
    </row>
    <row r="37" spans="1:14" x14ac:dyDescent="0.3">
      <c r="A37" s="67"/>
      <c r="B37" s="67"/>
      <c r="C37" s="67"/>
      <c r="D37" s="67"/>
      <c r="E37" s="67"/>
      <c r="F37" s="67"/>
      <c r="G37" s="67"/>
      <c r="H37" s="67"/>
      <c r="I37" s="67"/>
      <c r="J37" s="67"/>
      <c r="K37" s="67"/>
      <c r="L37" s="67"/>
      <c r="M37" s="67"/>
      <c r="N37" s="67"/>
    </row>
    <row r="38" spans="1:14" x14ac:dyDescent="0.3">
      <c r="A38" s="67"/>
      <c r="B38" s="67"/>
      <c r="C38" s="67"/>
      <c r="D38" s="67"/>
      <c r="E38" s="67"/>
      <c r="F38" s="67"/>
      <c r="G38" s="67"/>
      <c r="H38" s="67"/>
      <c r="I38" s="67"/>
      <c r="J38" s="67"/>
      <c r="K38" s="67"/>
      <c r="L38" s="67"/>
      <c r="M38" s="67"/>
      <c r="N38" s="67"/>
    </row>
    <row r="39" spans="1:14" x14ac:dyDescent="0.3">
      <c r="A39" s="67"/>
      <c r="B39" s="68" t="s">
        <v>105</v>
      </c>
      <c r="C39" s="67"/>
      <c r="D39" s="67"/>
      <c r="E39" s="67"/>
      <c r="F39" s="67"/>
      <c r="G39" s="67"/>
      <c r="H39" s="67"/>
      <c r="I39" s="68" t="s">
        <v>106</v>
      </c>
      <c r="J39" s="67"/>
      <c r="K39" s="67"/>
      <c r="L39" s="67"/>
      <c r="M39" s="67"/>
      <c r="N39" s="67"/>
    </row>
    <row r="40" spans="1:14" x14ac:dyDescent="0.3">
      <c r="A40" s="65">
        <v>3</v>
      </c>
      <c r="B40" s="65" t="s">
        <v>107</v>
      </c>
      <c r="C40" s="65"/>
      <c r="D40" s="65"/>
      <c r="E40" s="65"/>
      <c r="F40" s="65"/>
      <c r="G40" s="66"/>
      <c r="H40" s="66"/>
      <c r="I40" s="66"/>
      <c r="J40" s="66"/>
      <c r="K40" s="66"/>
      <c r="L40" s="66"/>
      <c r="M40" s="66"/>
      <c r="N40" s="66"/>
    </row>
    <row r="41" spans="1:14" x14ac:dyDescent="0.3">
      <c r="A41" s="67"/>
      <c r="B41" s="67"/>
      <c r="C41" s="67"/>
      <c r="D41" s="67"/>
      <c r="E41" s="67"/>
      <c r="F41" s="67"/>
      <c r="G41" s="67"/>
      <c r="H41" s="67"/>
      <c r="I41" s="67"/>
      <c r="J41" s="67"/>
      <c r="K41" s="67"/>
      <c r="L41" s="67"/>
      <c r="M41" s="67"/>
      <c r="N41" s="67"/>
    </row>
    <row r="42" spans="1:14" x14ac:dyDescent="0.3">
      <c r="A42" s="67"/>
      <c r="B42" s="67"/>
      <c r="C42" s="67"/>
      <c r="D42" s="67"/>
      <c r="E42" s="67"/>
      <c r="F42" s="67"/>
      <c r="G42" s="67"/>
      <c r="H42" s="67"/>
      <c r="I42" s="67"/>
      <c r="J42" s="67"/>
      <c r="K42" s="67"/>
      <c r="L42" s="67"/>
      <c r="M42" s="67"/>
      <c r="N42" s="67"/>
    </row>
    <row r="43" spans="1:14" x14ac:dyDescent="0.3">
      <c r="A43" s="67"/>
      <c r="B43" s="67"/>
      <c r="C43" s="67"/>
      <c r="D43" s="67"/>
      <c r="E43" s="67"/>
      <c r="F43" s="67"/>
      <c r="G43" s="67"/>
      <c r="H43" s="67"/>
      <c r="I43" s="67"/>
      <c r="J43" s="67"/>
      <c r="K43" s="67"/>
      <c r="L43" s="67"/>
      <c r="M43" s="67"/>
      <c r="N43" s="67"/>
    </row>
    <row r="44" spans="1:14" x14ac:dyDescent="0.3">
      <c r="A44" s="67"/>
      <c r="B44" s="67"/>
      <c r="C44" s="67"/>
      <c r="D44" s="67"/>
      <c r="E44" s="67"/>
      <c r="F44" s="67"/>
      <c r="G44" s="67"/>
      <c r="H44" s="67"/>
      <c r="I44" s="67"/>
      <c r="J44" s="67"/>
      <c r="K44" s="67"/>
      <c r="L44" s="67"/>
      <c r="M44" s="67"/>
      <c r="N44" s="67"/>
    </row>
    <row r="45" spans="1:14" x14ac:dyDescent="0.3">
      <c r="A45" s="67"/>
      <c r="B45" s="67"/>
      <c r="C45" s="67"/>
      <c r="D45" s="67"/>
      <c r="E45" s="67"/>
      <c r="F45" s="67"/>
      <c r="G45" s="67"/>
      <c r="H45" s="67"/>
      <c r="I45" s="67"/>
      <c r="J45" s="67"/>
      <c r="K45" s="67"/>
      <c r="L45" s="67"/>
      <c r="M45" s="67"/>
      <c r="N45" s="67"/>
    </row>
    <row r="46" spans="1:14" x14ac:dyDescent="0.3">
      <c r="A46" s="67"/>
      <c r="B46" s="67"/>
      <c r="C46" s="67"/>
      <c r="D46" s="67"/>
      <c r="E46" s="67"/>
      <c r="F46" s="67"/>
      <c r="G46" s="67"/>
      <c r="H46" s="67"/>
      <c r="I46" s="67"/>
      <c r="J46" s="67"/>
      <c r="K46" s="67"/>
      <c r="L46" s="67"/>
      <c r="M46" s="67"/>
      <c r="N46" s="67"/>
    </row>
    <row r="47" spans="1:14" x14ac:dyDescent="0.3">
      <c r="A47" s="67"/>
      <c r="B47" s="67"/>
      <c r="C47" s="67"/>
      <c r="D47" s="67"/>
      <c r="E47" s="67"/>
      <c r="F47" s="67"/>
      <c r="G47" s="67"/>
      <c r="H47" s="67"/>
      <c r="I47" s="67"/>
      <c r="J47" s="67"/>
      <c r="K47" s="67"/>
      <c r="L47" s="67"/>
      <c r="M47" s="67"/>
      <c r="N47" s="67"/>
    </row>
    <row r="48" spans="1:14" x14ac:dyDescent="0.3">
      <c r="A48" s="67"/>
      <c r="B48" s="67"/>
      <c r="C48" s="67"/>
      <c r="D48" s="67"/>
      <c r="E48" s="67"/>
      <c r="F48" s="67"/>
      <c r="G48" s="67"/>
      <c r="H48" s="67"/>
      <c r="I48" s="67"/>
      <c r="J48" s="67"/>
      <c r="K48" s="67"/>
      <c r="L48" s="67"/>
      <c r="M48" s="67"/>
      <c r="N48" s="67"/>
    </row>
    <row r="49" spans="1:14" x14ac:dyDescent="0.3">
      <c r="A49" s="67"/>
      <c r="B49" s="67"/>
      <c r="C49" s="67"/>
      <c r="D49" s="67"/>
      <c r="E49" s="67"/>
      <c r="F49" s="67"/>
      <c r="G49" s="67"/>
      <c r="H49" s="67"/>
      <c r="I49" s="67"/>
      <c r="J49" s="67"/>
      <c r="K49" s="67"/>
      <c r="L49" s="67"/>
      <c r="M49" s="67"/>
      <c r="N49" s="67"/>
    </row>
    <row r="50" spans="1:14" x14ac:dyDescent="0.3">
      <c r="A50" s="67"/>
      <c r="B50" s="67"/>
      <c r="C50" s="67"/>
      <c r="D50" s="67"/>
      <c r="E50" s="67"/>
      <c r="F50" s="67"/>
      <c r="G50" s="67"/>
      <c r="H50" s="67"/>
      <c r="I50" s="67"/>
      <c r="J50" s="67"/>
      <c r="K50" s="67"/>
      <c r="L50" s="67"/>
      <c r="M50" s="67"/>
      <c r="N50" s="67"/>
    </row>
    <row r="51" spans="1:14" x14ac:dyDescent="0.3">
      <c r="A51" s="67"/>
      <c r="B51" s="67"/>
      <c r="C51" s="67"/>
      <c r="D51" s="67"/>
      <c r="E51" s="67"/>
      <c r="F51" s="67"/>
      <c r="G51" s="67"/>
      <c r="H51" s="67"/>
      <c r="I51" s="67"/>
      <c r="J51" s="67"/>
      <c r="K51" s="67"/>
      <c r="L51" s="67"/>
      <c r="M51" s="67"/>
      <c r="N51" s="67"/>
    </row>
    <row r="52" spans="1:14" x14ac:dyDescent="0.3">
      <c r="A52" s="67"/>
      <c r="B52" s="67"/>
      <c r="C52" s="67"/>
      <c r="D52" s="67"/>
      <c r="E52" s="67"/>
      <c r="F52" s="67"/>
      <c r="G52" s="67"/>
      <c r="H52" s="67"/>
      <c r="I52" s="67"/>
      <c r="J52" s="67"/>
      <c r="K52" s="67"/>
      <c r="L52" s="67"/>
      <c r="M52" s="67"/>
      <c r="N52" s="67"/>
    </row>
    <row r="53" spans="1:14" x14ac:dyDescent="0.3">
      <c r="A53" s="67"/>
      <c r="B53" s="67"/>
      <c r="C53" s="67"/>
      <c r="D53" s="67"/>
      <c r="E53" s="67"/>
      <c r="F53" s="67"/>
      <c r="G53" s="67"/>
      <c r="H53" s="67"/>
      <c r="I53" s="67"/>
      <c r="J53" s="67"/>
      <c r="K53" s="67"/>
      <c r="L53" s="67"/>
      <c r="M53" s="67"/>
      <c r="N53" s="67"/>
    </row>
    <row r="54" spans="1:14" x14ac:dyDescent="0.3">
      <c r="A54" s="67"/>
      <c r="B54" s="67"/>
      <c r="C54" s="67"/>
      <c r="D54" s="67"/>
      <c r="E54" s="67"/>
      <c r="F54" s="67"/>
      <c r="G54" s="67"/>
      <c r="H54" s="67"/>
      <c r="I54" s="67"/>
      <c r="J54" s="67"/>
      <c r="K54" s="67"/>
      <c r="L54" s="67"/>
      <c r="M54" s="67"/>
      <c r="N54" s="67"/>
    </row>
    <row r="55" spans="1:14" x14ac:dyDescent="0.3">
      <c r="A55" s="67"/>
      <c r="B55" s="67"/>
      <c r="C55" s="67"/>
      <c r="D55" s="67"/>
      <c r="E55" s="67"/>
      <c r="F55" s="67"/>
      <c r="G55" s="67"/>
      <c r="H55" s="67"/>
      <c r="I55" s="67"/>
      <c r="J55" s="67"/>
      <c r="K55" s="67"/>
      <c r="L55" s="67"/>
      <c r="M55" s="67"/>
      <c r="N55" s="67"/>
    </row>
    <row r="56" spans="1:14" x14ac:dyDescent="0.3">
      <c r="A56" s="67"/>
      <c r="B56" s="67"/>
      <c r="C56" s="67"/>
      <c r="D56" s="67"/>
      <c r="E56" s="67"/>
      <c r="F56" s="67"/>
      <c r="G56" s="67"/>
      <c r="H56" s="67"/>
      <c r="I56" s="67"/>
      <c r="J56" s="67"/>
      <c r="K56" s="67"/>
      <c r="L56" s="67"/>
      <c r="M56" s="67"/>
      <c r="N56" s="67"/>
    </row>
    <row r="57" spans="1:14" x14ac:dyDescent="0.3">
      <c r="A57" s="67"/>
      <c r="B57" s="67"/>
      <c r="C57" s="67"/>
      <c r="D57" s="67"/>
      <c r="E57" s="67"/>
      <c r="F57" s="67"/>
      <c r="G57" s="67"/>
      <c r="H57" s="67"/>
      <c r="I57" s="67"/>
      <c r="J57" s="67"/>
      <c r="K57" s="67"/>
      <c r="L57" s="67"/>
      <c r="M57" s="67"/>
      <c r="N57" s="67"/>
    </row>
    <row r="58" spans="1:14" x14ac:dyDescent="0.3">
      <c r="A58" s="67"/>
      <c r="B58" s="67"/>
      <c r="C58" s="67"/>
      <c r="D58" s="67"/>
      <c r="E58" s="67"/>
      <c r="F58" s="67"/>
      <c r="G58" s="67"/>
      <c r="H58" s="67"/>
      <c r="I58" s="67"/>
      <c r="J58" s="67"/>
      <c r="K58" s="67"/>
      <c r="L58" s="67"/>
      <c r="M58" s="67"/>
      <c r="N58" s="67"/>
    </row>
    <row r="59" spans="1:14" x14ac:dyDescent="0.3">
      <c r="A59" s="67"/>
      <c r="B59" s="68" t="s">
        <v>108</v>
      </c>
      <c r="C59" s="68"/>
      <c r="D59" s="68"/>
      <c r="E59" s="68"/>
      <c r="F59" s="68"/>
      <c r="G59" s="68"/>
      <c r="H59" s="68"/>
      <c r="I59" s="68" t="s">
        <v>109</v>
      </c>
      <c r="J59" s="68"/>
      <c r="K59" s="68"/>
      <c r="L59" s="67"/>
      <c r="M59" s="67"/>
      <c r="N59" s="67"/>
    </row>
    <row r="60" spans="1:14" x14ac:dyDescent="0.3">
      <c r="A60" s="65">
        <v>4</v>
      </c>
      <c r="B60" s="65" t="s">
        <v>110</v>
      </c>
      <c r="C60" s="65"/>
      <c r="D60" s="65"/>
      <c r="E60" s="65"/>
      <c r="F60" s="65"/>
      <c r="G60" s="66"/>
      <c r="H60" s="66"/>
      <c r="I60" s="66"/>
      <c r="J60" s="66"/>
      <c r="K60" s="66"/>
      <c r="L60" s="66"/>
      <c r="M60" s="66"/>
      <c r="N60" s="66"/>
    </row>
    <row r="61" spans="1:14" x14ac:dyDescent="0.3">
      <c r="A61" s="67"/>
      <c r="B61" s="67"/>
      <c r="C61" s="67"/>
      <c r="D61" s="67"/>
      <c r="E61" s="67"/>
      <c r="F61" s="67"/>
      <c r="G61" s="67"/>
      <c r="H61" s="67"/>
      <c r="I61" s="67"/>
      <c r="J61" s="67"/>
      <c r="K61" s="67"/>
      <c r="L61" s="67"/>
      <c r="M61" s="67"/>
      <c r="N61" s="67"/>
    </row>
    <row r="62" spans="1:14" x14ac:dyDescent="0.3">
      <c r="A62" s="67"/>
      <c r="B62" s="67"/>
      <c r="C62" s="67"/>
      <c r="D62" s="67"/>
      <c r="E62" s="67"/>
      <c r="F62" s="67"/>
      <c r="G62" s="67"/>
      <c r="H62" s="67"/>
      <c r="I62" s="67"/>
      <c r="J62" s="67"/>
      <c r="K62" s="67"/>
      <c r="L62" s="67"/>
      <c r="M62" s="67"/>
      <c r="N62" s="67"/>
    </row>
    <row r="63" spans="1:14" x14ac:dyDescent="0.3">
      <c r="A63" s="67"/>
      <c r="B63" s="67"/>
      <c r="C63" s="67"/>
      <c r="D63" s="67"/>
      <c r="E63" s="67"/>
      <c r="F63" s="67"/>
      <c r="G63" s="67"/>
      <c r="H63" s="67"/>
      <c r="I63" s="67"/>
      <c r="J63" s="67"/>
      <c r="K63" s="67"/>
      <c r="L63" s="67"/>
      <c r="M63" s="67"/>
      <c r="N63" s="67"/>
    </row>
    <row r="64" spans="1:14" x14ac:dyDescent="0.3">
      <c r="A64" s="67"/>
      <c r="B64" s="67"/>
      <c r="C64" s="67"/>
      <c r="D64" s="67"/>
      <c r="E64" s="67"/>
      <c r="F64" s="67"/>
      <c r="G64" s="67"/>
      <c r="H64" s="67"/>
      <c r="I64" s="67"/>
      <c r="J64" s="67"/>
      <c r="K64" s="67"/>
      <c r="L64" s="67"/>
      <c r="M64" s="67"/>
      <c r="N64" s="67"/>
    </row>
    <row r="65" spans="1:14" x14ac:dyDescent="0.3">
      <c r="A65" s="67"/>
      <c r="B65" s="67"/>
      <c r="C65" s="67"/>
      <c r="D65" s="67"/>
      <c r="E65" s="67"/>
      <c r="F65" s="67"/>
      <c r="G65" s="67"/>
      <c r="H65" s="67"/>
      <c r="I65" s="67"/>
      <c r="J65" s="67"/>
      <c r="K65" s="67"/>
      <c r="L65" s="67"/>
      <c r="M65" s="67"/>
      <c r="N65" s="67"/>
    </row>
    <row r="66" spans="1:14" x14ac:dyDescent="0.3">
      <c r="A66" s="67"/>
      <c r="B66" s="67"/>
      <c r="C66" s="67"/>
      <c r="D66" s="67"/>
      <c r="E66" s="67"/>
      <c r="F66" s="67"/>
      <c r="G66" s="67"/>
      <c r="H66" s="67"/>
      <c r="I66" s="67"/>
      <c r="J66" s="67"/>
      <c r="K66" s="67"/>
      <c r="L66" s="67"/>
      <c r="M66" s="67"/>
      <c r="N66" s="67"/>
    </row>
    <row r="67" spans="1:14" x14ac:dyDescent="0.3">
      <c r="A67" s="67"/>
      <c r="B67" s="67"/>
      <c r="C67" s="67"/>
      <c r="D67" s="67"/>
      <c r="E67" s="67"/>
      <c r="F67" s="67"/>
      <c r="G67" s="67"/>
      <c r="H67" s="67"/>
      <c r="I67" s="67"/>
      <c r="J67" s="67"/>
      <c r="K67" s="67"/>
      <c r="L67" s="67"/>
      <c r="M67" s="67"/>
      <c r="N67" s="67"/>
    </row>
    <row r="68" spans="1:14" x14ac:dyDescent="0.3">
      <c r="A68" s="67"/>
      <c r="B68" s="67"/>
      <c r="C68" s="67"/>
      <c r="D68" s="67"/>
      <c r="E68" s="67"/>
      <c r="F68" s="67"/>
      <c r="G68" s="67"/>
      <c r="H68" s="67"/>
      <c r="I68" s="67"/>
      <c r="J68" s="67"/>
      <c r="K68" s="67"/>
      <c r="L68" s="67"/>
      <c r="M68" s="67"/>
      <c r="N68" s="67"/>
    </row>
    <row r="69" spans="1:14" x14ac:dyDescent="0.3">
      <c r="A69" s="67"/>
      <c r="B69" s="67"/>
      <c r="C69" s="67"/>
      <c r="D69" s="67"/>
      <c r="E69" s="67"/>
      <c r="F69" s="67"/>
      <c r="G69" s="67"/>
      <c r="H69" s="67"/>
      <c r="I69" s="67"/>
      <c r="J69" s="67"/>
      <c r="K69" s="67"/>
      <c r="L69" s="67"/>
      <c r="M69" s="67"/>
      <c r="N69" s="67"/>
    </row>
    <row r="70" spans="1:14" x14ac:dyDescent="0.3">
      <c r="A70" s="67"/>
      <c r="B70" s="67"/>
      <c r="C70" s="67"/>
      <c r="D70" s="67"/>
      <c r="E70" s="67"/>
      <c r="F70" s="67"/>
      <c r="G70" s="67"/>
      <c r="H70" s="67"/>
      <c r="I70" s="67"/>
      <c r="J70" s="67"/>
      <c r="K70" s="67"/>
      <c r="L70" s="67"/>
      <c r="M70" s="67"/>
      <c r="N70" s="67"/>
    </row>
    <row r="71" spans="1:14" x14ac:dyDescent="0.3">
      <c r="A71" s="67"/>
      <c r="B71" s="67"/>
      <c r="C71" s="67"/>
      <c r="D71" s="67"/>
      <c r="E71" s="67"/>
      <c r="F71" s="67"/>
      <c r="G71" s="67"/>
      <c r="H71" s="67"/>
      <c r="I71" s="67"/>
      <c r="J71" s="67"/>
      <c r="K71" s="67"/>
      <c r="L71" s="67"/>
      <c r="M71" s="67"/>
      <c r="N71" s="67"/>
    </row>
    <row r="72" spans="1:14" x14ac:dyDescent="0.3">
      <c r="A72" s="67"/>
      <c r="B72" s="67"/>
      <c r="C72" s="67"/>
      <c r="D72" s="67"/>
      <c r="E72" s="67"/>
      <c r="F72" s="67"/>
      <c r="G72" s="67"/>
      <c r="H72" s="67"/>
      <c r="I72" s="67"/>
      <c r="J72" s="67"/>
      <c r="K72" s="67"/>
      <c r="L72" s="67"/>
      <c r="M72" s="67"/>
      <c r="N72" s="67"/>
    </row>
    <row r="73" spans="1:14" x14ac:dyDescent="0.3">
      <c r="A73" s="67"/>
      <c r="B73" s="67"/>
      <c r="C73" s="67"/>
      <c r="D73" s="67"/>
      <c r="E73" s="67"/>
      <c r="F73" s="67"/>
      <c r="G73" s="67"/>
      <c r="H73" s="67"/>
      <c r="I73" s="67"/>
      <c r="J73" s="67"/>
      <c r="K73" s="67"/>
      <c r="L73" s="67"/>
      <c r="M73" s="67"/>
      <c r="N73" s="67"/>
    </row>
    <row r="74" spans="1:14" x14ac:dyDescent="0.3">
      <c r="A74" s="67"/>
      <c r="B74" s="67"/>
      <c r="C74" s="67"/>
      <c r="D74" s="67"/>
      <c r="E74" s="67"/>
      <c r="F74" s="67"/>
      <c r="G74" s="67"/>
      <c r="H74" s="67"/>
      <c r="I74" s="67"/>
      <c r="J74" s="67"/>
      <c r="K74" s="67"/>
      <c r="L74" s="67"/>
      <c r="M74" s="67"/>
      <c r="N74" s="67"/>
    </row>
    <row r="75" spans="1:14" x14ac:dyDescent="0.3">
      <c r="A75" s="67"/>
      <c r="B75" s="67"/>
      <c r="C75" s="67"/>
      <c r="D75" s="67"/>
      <c r="E75" s="67"/>
      <c r="F75" s="67"/>
      <c r="G75" s="67"/>
      <c r="H75" s="67"/>
      <c r="I75" s="67"/>
      <c r="J75" s="67"/>
      <c r="K75" s="67"/>
      <c r="L75" s="67"/>
      <c r="M75" s="67"/>
      <c r="N75" s="67"/>
    </row>
    <row r="76" spans="1:14" x14ac:dyDescent="0.3">
      <c r="A76" s="67"/>
      <c r="B76" s="67"/>
      <c r="C76" s="67"/>
      <c r="D76" s="67"/>
      <c r="E76" s="67"/>
      <c r="F76" s="67"/>
      <c r="G76" s="67"/>
      <c r="H76" s="67"/>
      <c r="I76" s="67"/>
      <c r="J76" s="67"/>
      <c r="K76" s="67"/>
      <c r="L76" s="67"/>
      <c r="M76" s="67"/>
      <c r="N76" s="67"/>
    </row>
    <row r="77" spans="1:14" x14ac:dyDescent="0.3">
      <c r="A77" s="67"/>
      <c r="B77" s="67"/>
      <c r="C77" s="67"/>
      <c r="D77" s="67"/>
      <c r="E77" s="67"/>
      <c r="F77" s="67"/>
      <c r="G77" s="67"/>
      <c r="H77" s="67"/>
      <c r="I77" s="67"/>
      <c r="J77" s="67"/>
      <c r="K77" s="67"/>
      <c r="L77" s="67"/>
      <c r="M77" s="67"/>
      <c r="N77" s="67"/>
    </row>
    <row r="78" spans="1:14" x14ac:dyDescent="0.3">
      <c r="A78" s="67"/>
      <c r="B78" s="67"/>
      <c r="C78" s="67"/>
      <c r="D78" s="67"/>
      <c r="E78" s="67"/>
      <c r="F78" s="67"/>
      <c r="G78" s="67"/>
      <c r="H78" s="67"/>
      <c r="I78" s="67"/>
      <c r="J78" s="67"/>
      <c r="K78" s="67"/>
      <c r="L78" s="67"/>
      <c r="M78" s="67"/>
      <c r="N78" s="67"/>
    </row>
    <row r="79" spans="1:14" x14ac:dyDescent="0.3">
      <c r="A79" s="67"/>
      <c r="B79" s="67"/>
      <c r="C79" s="67"/>
      <c r="D79" s="67"/>
      <c r="E79" s="67"/>
      <c r="F79" s="67"/>
      <c r="G79" s="67"/>
      <c r="H79" s="67"/>
      <c r="I79" s="67"/>
      <c r="J79" s="67"/>
      <c r="K79" s="67"/>
      <c r="L79" s="67"/>
      <c r="M79" s="67"/>
      <c r="N79" s="67"/>
    </row>
    <row r="80" spans="1:14" x14ac:dyDescent="0.3">
      <c r="A80" s="67"/>
      <c r="B80" s="67"/>
      <c r="C80" s="67"/>
      <c r="D80" s="67"/>
      <c r="E80" s="67"/>
      <c r="F80" s="67"/>
      <c r="G80" s="67"/>
      <c r="H80" s="67"/>
      <c r="I80" s="67"/>
      <c r="J80" s="67"/>
      <c r="K80" s="67"/>
      <c r="L80" s="67"/>
      <c r="M80" s="67"/>
      <c r="N80" s="67"/>
    </row>
    <row r="81" spans="1:14" x14ac:dyDescent="0.3">
      <c r="A81" s="67"/>
      <c r="B81" s="67"/>
      <c r="C81" s="67"/>
      <c r="D81" s="67"/>
      <c r="E81" s="67"/>
      <c r="F81" s="67"/>
      <c r="G81" s="67"/>
      <c r="H81" s="67"/>
      <c r="I81" s="67"/>
      <c r="J81" s="67"/>
      <c r="K81" s="67"/>
      <c r="L81" s="67"/>
      <c r="M81" s="67"/>
      <c r="N81" s="67"/>
    </row>
    <row r="82" spans="1:14" x14ac:dyDescent="0.3">
      <c r="A82" s="67"/>
      <c r="B82" s="67"/>
      <c r="C82" s="67"/>
      <c r="D82" s="67"/>
      <c r="E82" s="67"/>
      <c r="F82" s="67"/>
      <c r="G82" s="67"/>
      <c r="H82" s="67"/>
      <c r="I82" s="67"/>
      <c r="J82" s="67"/>
      <c r="K82" s="67"/>
      <c r="L82" s="67"/>
      <c r="M82" s="67"/>
      <c r="N82" s="67"/>
    </row>
    <row r="83" spans="1:14" x14ac:dyDescent="0.3">
      <c r="A83" s="67"/>
      <c r="B83" s="67"/>
      <c r="C83" s="67"/>
      <c r="D83" s="67"/>
      <c r="E83" s="67"/>
      <c r="F83" s="67"/>
      <c r="G83" s="67"/>
      <c r="H83" s="67"/>
      <c r="I83" s="67"/>
      <c r="J83" s="67"/>
      <c r="K83" s="67"/>
      <c r="L83" s="67"/>
      <c r="M83" s="67"/>
      <c r="N83" s="67"/>
    </row>
    <row r="84" spans="1:14" x14ac:dyDescent="0.3">
      <c r="A84" s="67"/>
      <c r="B84" s="67"/>
      <c r="C84" s="67"/>
      <c r="D84" s="67"/>
      <c r="E84" s="67"/>
      <c r="F84" s="67"/>
      <c r="G84" s="67"/>
      <c r="H84" s="67"/>
      <c r="I84" s="67"/>
      <c r="J84" s="67"/>
      <c r="K84" s="67"/>
      <c r="L84" s="67"/>
      <c r="M84" s="67"/>
      <c r="N84" s="67"/>
    </row>
    <row r="85" spans="1:14" x14ac:dyDescent="0.3">
      <c r="A85" s="67"/>
      <c r="B85" s="67"/>
      <c r="C85" s="67"/>
      <c r="D85" s="67"/>
      <c r="E85" s="67"/>
      <c r="F85" s="67"/>
      <c r="G85" s="67"/>
      <c r="H85" s="67"/>
      <c r="I85" s="67"/>
      <c r="J85" s="67"/>
      <c r="K85" s="67"/>
      <c r="L85" s="67"/>
      <c r="M85" s="67"/>
      <c r="N85" s="67"/>
    </row>
    <row r="86" spans="1:14" x14ac:dyDescent="0.3">
      <c r="A86" s="67"/>
      <c r="B86" s="67"/>
      <c r="C86" s="67"/>
      <c r="D86" s="67"/>
      <c r="E86" s="67"/>
      <c r="F86" s="67"/>
      <c r="G86" s="67"/>
      <c r="H86" s="67"/>
      <c r="I86" s="67"/>
      <c r="J86" s="67"/>
      <c r="K86" s="67"/>
      <c r="L86" s="67"/>
      <c r="M86" s="67"/>
      <c r="N86" s="67"/>
    </row>
    <row r="87" spans="1:14" x14ac:dyDescent="0.3">
      <c r="A87" s="67"/>
      <c r="B87" s="67"/>
      <c r="C87" s="67"/>
      <c r="D87" s="67"/>
      <c r="E87" s="67"/>
      <c r="F87" s="67"/>
      <c r="G87" s="67"/>
      <c r="H87" s="67"/>
      <c r="I87" s="67"/>
      <c r="J87" s="67"/>
      <c r="K87" s="67"/>
      <c r="L87" s="67"/>
      <c r="M87" s="67"/>
      <c r="N87" s="67"/>
    </row>
    <row r="88" spans="1:14" x14ac:dyDescent="0.3">
      <c r="A88" s="67"/>
      <c r="B88" s="67"/>
      <c r="C88" s="67"/>
      <c r="D88" s="67"/>
      <c r="E88" s="67"/>
      <c r="F88" s="67"/>
      <c r="G88" s="67"/>
      <c r="H88" s="67"/>
      <c r="I88" s="67"/>
      <c r="J88" s="67"/>
      <c r="K88" s="67"/>
      <c r="L88" s="67"/>
      <c r="M88" s="67"/>
      <c r="N88" s="67"/>
    </row>
    <row r="89" spans="1:14" x14ac:dyDescent="0.3">
      <c r="A89" s="67"/>
      <c r="B89" s="67"/>
      <c r="C89" s="67"/>
      <c r="D89" s="67"/>
      <c r="E89" s="67"/>
      <c r="F89" s="67"/>
      <c r="G89" s="67"/>
      <c r="H89" s="67"/>
      <c r="I89" s="67"/>
      <c r="J89" s="67"/>
      <c r="K89" s="67"/>
      <c r="L89" s="67"/>
      <c r="M89" s="67"/>
      <c r="N89" s="67"/>
    </row>
    <row r="90" spans="1:14" x14ac:dyDescent="0.3">
      <c r="A90" s="67"/>
      <c r="B90" s="67"/>
      <c r="C90" s="67"/>
      <c r="D90" s="67"/>
      <c r="E90" s="67"/>
      <c r="F90" s="67"/>
      <c r="G90" s="67"/>
      <c r="H90" s="67"/>
      <c r="I90" s="67"/>
      <c r="J90" s="67"/>
      <c r="K90" s="67"/>
      <c r="L90" s="67"/>
      <c r="M90" s="67"/>
      <c r="N90" s="67"/>
    </row>
    <row r="91" spans="1:14" x14ac:dyDescent="0.3">
      <c r="A91" s="67"/>
      <c r="B91" s="67"/>
      <c r="C91" s="67"/>
      <c r="D91" s="67"/>
      <c r="E91" s="67"/>
      <c r="F91" s="67"/>
      <c r="G91" s="67"/>
      <c r="H91" s="67"/>
      <c r="I91" s="67"/>
      <c r="J91" s="67"/>
      <c r="K91" s="67"/>
      <c r="L91" s="67"/>
      <c r="M91" s="67"/>
      <c r="N91" s="67"/>
    </row>
    <row r="92" spans="1:14" x14ac:dyDescent="0.3">
      <c r="A92" s="65">
        <v>5</v>
      </c>
      <c r="B92" s="65" t="s">
        <v>111</v>
      </c>
      <c r="C92" s="65"/>
      <c r="D92" s="65"/>
      <c r="E92" s="65"/>
      <c r="F92" s="65"/>
      <c r="G92" s="66"/>
      <c r="H92" s="66"/>
      <c r="I92" s="66"/>
      <c r="J92" s="66"/>
      <c r="K92" s="66"/>
      <c r="L92" s="66"/>
      <c r="M92" s="66"/>
      <c r="N92" s="66"/>
    </row>
    <row r="93" spans="1:14" x14ac:dyDescent="0.3">
      <c r="A93" s="67"/>
      <c r="B93" s="67"/>
      <c r="C93" s="67"/>
      <c r="D93" s="67"/>
      <c r="E93" s="67"/>
      <c r="F93" s="67"/>
      <c r="G93" s="67"/>
      <c r="H93" s="67"/>
      <c r="I93" s="67"/>
      <c r="J93" s="67"/>
      <c r="K93" s="67"/>
      <c r="L93" s="67"/>
      <c r="M93" s="67"/>
      <c r="N93" s="67"/>
    </row>
    <row r="94" spans="1:14" x14ac:dyDescent="0.3">
      <c r="A94" s="67"/>
      <c r="B94" s="67"/>
      <c r="C94" s="67"/>
      <c r="D94" s="67"/>
      <c r="E94" s="67"/>
      <c r="F94" s="67"/>
      <c r="G94" s="67"/>
      <c r="H94" s="67"/>
      <c r="I94" s="67"/>
      <c r="J94" s="67"/>
      <c r="K94" s="67"/>
      <c r="L94" s="67"/>
      <c r="M94" s="67"/>
      <c r="N94" s="67"/>
    </row>
    <row r="95" spans="1:14" x14ac:dyDescent="0.3">
      <c r="A95" s="67"/>
      <c r="B95" s="67"/>
      <c r="C95" s="67"/>
      <c r="D95" s="67"/>
      <c r="E95" s="67"/>
      <c r="F95" s="67"/>
      <c r="G95" s="67"/>
      <c r="H95" s="67"/>
      <c r="I95" s="67"/>
      <c r="J95" s="67"/>
      <c r="K95" s="67"/>
      <c r="L95" s="67"/>
      <c r="M95" s="67"/>
      <c r="N95" s="67"/>
    </row>
    <row r="96" spans="1:14" x14ac:dyDescent="0.3">
      <c r="A96" s="67"/>
      <c r="B96" s="67"/>
      <c r="C96" s="67"/>
      <c r="D96" s="67"/>
      <c r="E96" s="67"/>
      <c r="F96" s="67"/>
      <c r="G96" s="67"/>
      <c r="H96" s="67"/>
      <c r="I96" s="67"/>
      <c r="J96" s="67"/>
      <c r="K96" s="67"/>
      <c r="L96" s="67"/>
      <c r="M96" s="67"/>
      <c r="N96" s="67"/>
    </row>
    <row r="97" spans="1:14" x14ac:dyDescent="0.3">
      <c r="A97" s="67"/>
      <c r="B97" s="67"/>
      <c r="C97" s="67"/>
      <c r="D97" s="67"/>
      <c r="E97" s="67"/>
      <c r="F97" s="67"/>
      <c r="G97" s="67"/>
      <c r="H97" s="67"/>
      <c r="I97" s="67"/>
      <c r="J97" s="67"/>
      <c r="K97" s="67"/>
      <c r="L97" s="67"/>
      <c r="M97" s="67"/>
      <c r="N97" s="67"/>
    </row>
    <row r="98" spans="1:14" x14ac:dyDescent="0.3">
      <c r="A98" s="67"/>
      <c r="B98" s="67"/>
      <c r="C98" s="67"/>
      <c r="D98" s="67"/>
      <c r="E98" s="67"/>
      <c r="F98" s="67"/>
      <c r="G98" s="67"/>
      <c r="H98" s="67"/>
      <c r="I98" s="67"/>
      <c r="J98" s="67"/>
      <c r="K98" s="67"/>
      <c r="L98" s="67"/>
      <c r="M98" s="67"/>
      <c r="N98" s="67"/>
    </row>
    <row r="99" spans="1:14" x14ac:dyDescent="0.3">
      <c r="A99" s="67"/>
      <c r="B99" s="67"/>
      <c r="C99" s="67"/>
      <c r="D99" s="67"/>
      <c r="E99" s="67"/>
      <c r="F99" s="67"/>
      <c r="G99" s="67"/>
      <c r="H99" s="67"/>
      <c r="I99" s="67"/>
      <c r="J99" s="67"/>
      <c r="K99" s="67"/>
      <c r="L99" s="67"/>
      <c r="M99" s="67"/>
      <c r="N99" s="67"/>
    </row>
    <row r="100" spans="1:14" x14ac:dyDescent="0.3">
      <c r="A100" s="67"/>
      <c r="B100" s="67"/>
      <c r="C100" s="67"/>
      <c r="D100" s="67"/>
      <c r="E100" s="67"/>
      <c r="F100" s="67"/>
      <c r="G100" s="67"/>
      <c r="H100" s="67"/>
      <c r="I100" s="67"/>
      <c r="J100" s="67"/>
      <c r="K100" s="67"/>
      <c r="L100" s="67"/>
      <c r="M100" s="67"/>
      <c r="N100" s="67"/>
    </row>
    <row r="101" spans="1:14" x14ac:dyDescent="0.3">
      <c r="A101" s="67"/>
      <c r="B101" s="67"/>
      <c r="C101" s="67"/>
      <c r="D101" s="67"/>
      <c r="E101" s="67"/>
      <c r="F101" s="67"/>
      <c r="G101" s="67"/>
      <c r="H101" s="67"/>
      <c r="I101" s="67"/>
      <c r="J101" s="67"/>
      <c r="K101" s="67"/>
      <c r="L101" s="67"/>
      <c r="M101" s="67"/>
      <c r="N101" s="67"/>
    </row>
    <row r="102" spans="1:14" x14ac:dyDescent="0.3">
      <c r="A102" s="67"/>
      <c r="B102" s="67"/>
      <c r="C102" s="67"/>
      <c r="D102" s="67"/>
      <c r="E102" s="67"/>
      <c r="F102" s="67"/>
      <c r="G102" s="67"/>
      <c r="H102" s="67"/>
      <c r="I102" s="67"/>
      <c r="J102" s="67"/>
      <c r="K102" s="67"/>
      <c r="L102" s="67"/>
      <c r="M102" s="67"/>
      <c r="N102" s="67"/>
    </row>
    <row r="103" spans="1:14" x14ac:dyDescent="0.3">
      <c r="A103" s="67"/>
      <c r="B103" s="67"/>
      <c r="C103" s="67"/>
      <c r="D103" s="67"/>
      <c r="E103" s="67"/>
      <c r="F103" s="67"/>
      <c r="G103" s="67"/>
      <c r="H103" s="67"/>
      <c r="I103" s="67"/>
      <c r="J103" s="67"/>
      <c r="K103" s="67"/>
      <c r="L103" s="67"/>
      <c r="M103" s="67"/>
      <c r="N103" s="67"/>
    </row>
    <row r="104" spans="1:14" x14ac:dyDescent="0.3">
      <c r="A104" s="67"/>
      <c r="B104" s="67"/>
      <c r="C104" s="67"/>
      <c r="D104" s="67"/>
      <c r="E104" s="67"/>
      <c r="F104" s="67"/>
      <c r="G104" s="67"/>
      <c r="H104" s="67"/>
      <c r="I104" s="67"/>
      <c r="J104" s="67"/>
      <c r="K104" s="67"/>
      <c r="L104" s="67"/>
      <c r="M104" s="67"/>
      <c r="N104" s="67"/>
    </row>
    <row r="105" spans="1:14" x14ac:dyDescent="0.3">
      <c r="A105" s="67"/>
      <c r="B105" s="67"/>
      <c r="C105" s="67"/>
      <c r="D105" s="67"/>
      <c r="E105" s="67"/>
      <c r="F105" s="67"/>
      <c r="G105" s="67"/>
      <c r="H105" s="67"/>
      <c r="I105" s="67"/>
      <c r="J105" s="67"/>
      <c r="K105" s="67"/>
      <c r="L105" s="67"/>
      <c r="M105" s="67"/>
      <c r="N105" s="67"/>
    </row>
    <row r="106" spans="1:14" x14ac:dyDescent="0.3">
      <c r="A106" s="67"/>
      <c r="B106" s="67"/>
      <c r="C106" s="67"/>
      <c r="D106" s="67"/>
      <c r="E106" s="67"/>
      <c r="F106" s="67"/>
      <c r="G106" s="67"/>
      <c r="H106" s="67"/>
      <c r="I106" s="67"/>
      <c r="J106" s="67"/>
      <c r="K106" s="67"/>
      <c r="L106" s="67"/>
      <c r="M106" s="67"/>
      <c r="N106" s="67"/>
    </row>
    <row r="107" spans="1:14" x14ac:dyDescent="0.3">
      <c r="A107" s="67"/>
      <c r="B107" s="67"/>
      <c r="C107" s="67"/>
      <c r="D107" s="67"/>
      <c r="E107" s="67"/>
      <c r="F107" s="67"/>
      <c r="G107" s="67"/>
      <c r="H107" s="67"/>
      <c r="I107" s="67"/>
      <c r="J107" s="67"/>
      <c r="K107" s="67"/>
      <c r="L107" s="67"/>
      <c r="M107" s="67"/>
      <c r="N107" s="67"/>
    </row>
    <row r="108" spans="1:14" x14ac:dyDescent="0.3">
      <c r="A108" s="67"/>
      <c r="B108" s="67"/>
      <c r="C108" s="67"/>
      <c r="D108" s="67"/>
      <c r="E108" s="67"/>
      <c r="F108" s="67"/>
      <c r="G108" s="67"/>
      <c r="H108" s="67"/>
      <c r="I108" s="67"/>
      <c r="J108" s="67"/>
      <c r="K108" s="67"/>
      <c r="L108" s="67"/>
      <c r="M108" s="67"/>
      <c r="N108" s="67"/>
    </row>
    <row r="109" spans="1:14" x14ac:dyDescent="0.3">
      <c r="A109" s="67"/>
      <c r="B109" s="67"/>
      <c r="C109" s="67"/>
      <c r="D109" s="67"/>
      <c r="E109" s="67"/>
      <c r="F109" s="67"/>
      <c r="G109" s="67"/>
      <c r="H109" s="67"/>
      <c r="I109" s="67"/>
      <c r="J109" s="67"/>
      <c r="K109" s="67"/>
      <c r="L109" s="67"/>
      <c r="M109" s="67"/>
      <c r="N109" s="67"/>
    </row>
    <row r="110" spans="1:14" x14ac:dyDescent="0.3">
      <c r="A110" s="67"/>
      <c r="B110" s="67"/>
      <c r="C110" s="67"/>
      <c r="D110" s="67"/>
      <c r="E110" s="67"/>
      <c r="F110" s="67"/>
      <c r="G110" s="67"/>
      <c r="H110" s="67"/>
      <c r="I110" s="67"/>
      <c r="J110" s="67"/>
      <c r="K110" s="67"/>
      <c r="L110" s="67"/>
      <c r="M110" s="67"/>
      <c r="N110" s="67"/>
    </row>
    <row r="111" spans="1:14" x14ac:dyDescent="0.3">
      <c r="A111" s="67"/>
      <c r="B111" s="67"/>
      <c r="C111" s="67"/>
      <c r="D111" s="67"/>
      <c r="E111" s="67"/>
      <c r="F111" s="67"/>
      <c r="G111" s="67"/>
      <c r="H111" s="67"/>
      <c r="I111" s="67"/>
      <c r="J111" s="67"/>
      <c r="K111" s="67"/>
      <c r="L111" s="67"/>
      <c r="M111" s="67"/>
      <c r="N111" s="67"/>
    </row>
    <row r="112" spans="1:14" x14ac:dyDescent="0.3">
      <c r="A112" s="67"/>
      <c r="B112" s="67"/>
      <c r="C112" s="67"/>
      <c r="D112" s="67"/>
      <c r="E112" s="67"/>
      <c r="F112" s="67"/>
      <c r="G112" s="67"/>
      <c r="H112" s="67"/>
      <c r="I112" s="67"/>
      <c r="J112" s="67"/>
      <c r="K112" s="67"/>
      <c r="L112" s="67"/>
      <c r="M112" s="67"/>
      <c r="N112" s="67"/>
    </row>
    <row r="113" spans="1:14" x14ac:dyDescent="0.3">
      <c r="A113" s="67"/>
      <c r="B113" s="67"/>
      <c r="C113" s="67"/>
      <c r="D113" s="67"/>
      <c r="E113" s="67"/>
      <c r="F113" s="67"/>
      <c r="G113" s="67"/>
      <c r="H113" s="67"/>
      <c r="I113" s="67"/>
      <c r="J113" s="67"/>
      <c r="K113" s="67"/>
      <c r="L113" s="67"/>
      <c r="M113" s="67"/>
      <c r="N113" s="67"/>
    </row>
    <row r="114" spans="1:14" x14ac:dyDescent="0.3">
      <c r="A114" s="67"/>
      <c r="B114" s="67"/>
      <c r="C114" s="67"/>
      <c r="D114" s="67"/>
      <c r="E114" s="67"/>
      <c r="F114" s="67"/>
      <c r="G114" s="67"/>
      <c r="H114" s="67"/>
      <c r="I114" s="67"/>
      <c r="J114" s="67"/>
      <c r="K114" s="67"/>
      <c r="L114" s="67"/>
      <c r="M114" s="67"/>
      <c r="N114" s="67"/>
    </row>
    <row r="115" spans="1:14" x14ac:dyDescent="0.3">
      <c r="A115" s="67"/>
      <c r="B115" s="67"/>
      <c r="C115" s="67"/>
      <c r="D115" s="67"/>
      <c r="E115" s="67"/>
      <c r="F115" s="67"/>
      <c r="G115" s="67"/>
      <c r="H115" s="67"/>
      <c r="I115" s="67"/>
      <c r="J115" s="67"/>
      <c r="K115" s="67"/>
      <c r="L115" s="67"/>
      <c r="M115" s="67"/>
      <c r="N115" s="67"/>
    </row>
    <row r="116" spans="1:14" x14ac:dyDescent="0.3">
      <c r="A116" s="67"/>
      <c r="B116" s="67"/>
      <c r="C116" s="67"/>
      <c r="D116" s="67"/>
      <c r="E116" s="67"/>
      <c r="F116" s="67"/>
      <c r="G116" s="67"/>
      <c r="H116" s="67"/>
      <c r="I116" s="67"/>
      <c r="J116" s="67"/>
      <c r="K116" s="67"/>
      <c r="L116" s="67"/>
      <c r="M116" s="67"/>
      <c r="N116" s="67"/>
    </row>
    <row r="117" spans="1:14" ht="22.2" x14ac:dyDescent="0.35">
      <c r="A117" s="64" t="s">
        <v>112</v>
      </c>
      <c r="B117" s="63"/>
      <c r="C117" s="62"/>
      <c r="D117" s="62"/>
      <c r="E117" s="62"/>
      <c r="F117" s="62"/>
      <c r="G117" s="62"/>
      <c r="H117" s="62"/>
      <c r="I117" s="62"/>
      <c r="J117" s="62"/>
      <c r="K117" s="62"/>
      <c r="L117" s="62"/>
      <c r="M117" s="62"/>
      <c r="N117" s="62"/>
    </row>
    <row r="118" spans="1:14" x14ac:dyDescent="0.3">
      <c r="A118" s="65">
        <v>1</v>
      </c>
      <c r="B118" s="65" t="s">
        <v>113</v>
      </c>
      <c r="C118" s="65"/>
      <c r="D118" s="65"/>
      <c r="E118" s="65"/>
      <c r="F118" s="65"/>
      <c r="G118" s="66"/>
      <c r="H118" s="66"/>
      <c r="I118" s="66"/>
      <c r="J118" s="66"/>
      <c r="K118" s="66"/>
      <c r="L118" s="66"/>
      <c r="M118" s="66"/>
      <c r="N118" s="66"/>
    </row>
    <row r="119" spans="1:14" x14ac:dyDescent="0.3">
      <c r="A119" s="67"/>
      <c r="B119" s="71" t="s">
        <v>114</v>
      </c>
      <c r="C119" s="67"/>
      <c r="D119" s="67"/>
      <c r="E119" s="67"/>
      <c r="F119" s="67"/>
      <c r="G119" s="67"/>
      <c r="H119" s="67"/>
      <c r="I119" s="67"/>
      <c r="J119" s="67"/>
      <c r="K119" s="67"/>
      <c r="L119" s="67"/>
      <c r="M119" s="67"/>
      <c r="N119" s="67"/>
    </row>
    <row r="120" spans="1:14" x14ac:dyDescent="0.3">
      <c r="A120" s="67"/>
      <c r="B120" s="72" t="s">
        <v>115</v>
      </c>
      <c r="C120" s="67"/>
      <c r="D120" s="67"/>
      <c r="E120" s="67"/>
      <c r="F120" s="67"/>
      <c r="G120" s="67"/>
      <c r="H120" s="67"/>
      <c r="I120" s="67"/>
      <c r="J120" s="67"/>
      <c r="K120" s="67"/>
      <c r="L120" s="67"/>
      <c r="M120" s="67"/>
      <c r="N120" s="67"/>
    </row>
    <row r="121" spans="1:14" x14ac:dyDescent="0.3">
      <c r="A121" s="67"/>
      <c r="B121" s="67"/>
      <c r="C121" s="67"/>
      <c r="D121" s="67"/>
      <c r="E121" s="67"/>
      <c r="F121" s="67"/>
      <c r="G121" s="67"/>
      <c r="H121" s="67"/>
      <c r="I121" s="67"/>
      <c r="J121" s="67"/>
      <c r="K121" s="67"/>
      <c r="L121" s="67"/>
      <c r="M121" s="67"/>
      <c r="N121" s="67"/>
    </row>
    <row r="122" spans="1:14" x14ac:dyDescent="0.3">
      <c r="A122" s="67"/>
      <c r="B122" s="67"/>
      <c r="C122" s="67"/>
      <c r="D122" s="67"/>
      <c r="E122" s="67"/>
      <c r="F122" s="67"/>
      <c r="G122" s="67"/>
      <c r="H122" s="67"/>
      <c r="I122" s="67"/>
      <c r="J122" s="67"/>
      <c r="K122" s="67"/>
      <c r="L122" s="67"/>
      <c r="M122" s="67"/>
      <c r="N122" s="67"/>
    </row>
    <row r="123" spans="1:14" x14ac:dyDescent="0.3">
      <c r="A123" s="67"/>
      <c r="B123" s="67"/>
      <c r="C123" s="67"/>
      <c r="D123" s="67"/>
      <c r="E123" s="67"/>
      <c r="F123" s="67"/>
      <c r="G123" s="67"/>
      <c r="H123" s="67"/>
      <c r="I123" s="67"/>
      <c r="J123" s="67"/>
      <c r="K123" s="67"/>
      <c r="L123" s="67"/>
      <c r="M123" s="67"/>
      <c r="N123" s="67"/>
    </row>
    <row r="124" spans="1:14" x14ac:dyDescent="0.3">
      <c r="A124" s="67"/>
      <c r="B124" s="67"/>
      <c r="C124" s="67"/>
      <c r="D124" s="67"/>
      <c r="E124" s="67"/>
      <c r="F124" s="67"/>
      <c r="G124" s="67"/>
      <c r="H124" s="67"/>
      <c r="I124" s="67"/>
      <c r="J124" s="67"/>
      <c r="K124" s="67"/>
      <c r="L124" s="67"/>
      <c r="M124" s="67"/>
      <c r="N124" s="67"/>
    </row>
    <row r="125" spans="1:14" x14ac:dyDescent="0.3">
      <c r="A125" s="67"/>
      <c r="B125" s="67"/>
      <c r="C125" s="67"/>
      <c r="D125" s="67"/>
      <c r="E125" s="67"/>
      <c r="F125" s="67"/>
      <c r="G125" s="67"/>
      <c r="H125" s="67"/>
      <c r="I125" s="67"/>
      <c r="J125" s="67"/>
      <c r="K125" s="67"/>
      <c r="L125" s="67"/>
      <c r="M125" s="67"/>
      <c r="N125" s="67"/>
    </row>
    <row r="126" spans="1:14" x14ac:dyDescent="0.3">
      <c r="A126" s="67"/>
      <c r="B126" s="67"/>
      <c r="C126" s="67"/>
      <c r="D126" s="67"/>
      <c r="E126" s="67"/>
      <c r="F126" s="67"/>
      <c r="G126" s="67"/>
      <c r="H126" s="67"/>
      <c r="I126" s="67"/>
      <c r="J126" s="67"/>
      <c r="K126" s="67"/>
      <c r="L126" s="67"/>
      <c r="M126" s="67"/>
      <c r="N126" s="67"/>
    </row>
    <row r="127" spans="1:14" x14ac:dyDescent="0.3">
      <c r="A127" s="67"/>
      <c r="B127" s="67"/>
      <c r="C127" s="67"/>
      <c r="D127" s="67"/>
      <c r="E127" s="67"/>
      <c r="F127" s="67"/>
      <c r="G127" s="67"/>
      <c r="H127" s="67"/>
      <c r="I127" s="67"/>
      <c r="J127" s="67"/>
      <c r="K127" s="67"/>
      <c r="L127" s="67"/>
      <c r="M127" s="67"/>
      <c r="N127" s="67"/>
    </row>
    <row r="128" spans="1:14" x14ac:dyDescent="0.3">
      <c r="A128" s="67"/>
      <c r="B128" s="67"/>
      <c r="C128" s="67"/>
      <c r="D128" s="67"/>
      <c r="E128" s="67"/>
      <c r="F128" s="67"/>
      <c r="G128" s="67"/>
      <c r="H128" s="67"/>
      <c r="I128" s="67"/>
      <c r="J128" s="67"/>
      <c r="K128" s="67"/>
      <c r="L128" s="67"/>
      <c r="M128" s="67"/>
      <c r="N128" s="67"/>
    </row>
    <row r="129" spans="1:21" x14ac:dyDescent="0.3">
      <c r="A129" s="67"/>
      <c r="B129" s="67"/>
      <c r="C129" s="67"/>
      <c r="D129" s="67"/>
      <c r="E129" s="67"/>
      <c r="F129" s="67"/>
      <c r="G129" s="67"/>
      <c r="H129" s="67"/>
      <c r="I129" s="67"/>
      <c r="J129" s="67"/>
      <c r="K129" s="67"/>
      <c r="L129" s="67"/>
      <c r="M129" s="67"/>
      <c r="N129" s="67"/>
    </row>
    <row r="130" spans="1:21" x14ac:dyDescent="0.3">
      <c r="A130" s="67"/>
      <c r="B130" s="67"/>
      <c r="C130" s="67"/>
      <c r="D130" s="67"/>
      <c r="E130" s="67"/>
      <c r="F130" s="67"/>
      <c r="G130" s="67"/>
      <c r="H130" s="67"/>
      <c r="I130" s="67"/>
      <c r="J130" s="67"/>
      <c r="K130" s="67"/>
      <c r="L130" s="67"/>
      <c r="M130" s="67"/>
      <c r="N130" s="67"/>
    </row>
    <row r="131" spans="1:21" x14ac:dyDescent="0.3">
      <c r="A131" s="67"/>
      <c r="B131" s="67"/>
      <c r="C131" s="67"/>
      <c r="D131" s="67"/>
      <c r="E131" s="67"/>
      <c r="F131" s="67"/>
      <c r="G131" s="67"/>
      <c r="H131" s="67"/>
      <c r="I131" s="67"/>
      <c r="J131" s="67"/>
      <c r="K131" s="67"/>
      <c r="L131" s="67"/>
      <c r="M131" s="67"/>
      <c r="N131" s="67"/>
    </row>
    <row r="132" spans="1:21" x14ac:dyDescent="0.3">
      <c r="A132" s="67"/>
      <c r="B132" s="67"/>
      <c r="C132" s="67"/>
      <c r="D132" s="67"/>
      <c r="E132" s="67"/>
      <c r="F132" s="67"/>
      <c r="G132" s="67"/>
      <c r="H132" s="67"/>
      <c r="I132" s="67"/>
      <c r="J132" s="67"/>
      <c r="K132" s="67"/>
      <c r="L132" s="67"/>
      <c r="M132" s="67"/>
      <c r="N132" s="67"/>
    </row>
    <row r="133" spans="1:21" x14ac:dyDescent="0.3">
      <c r="A133" s="67"/>
      <c r="B133" s="67"/>
      <c r="C133" s="67"/>
      <c r="D133" s="67"/>
      <c r="E133" s="67"/>
      <c r="F133" s="67"/>
      <c r="G133" s="67"/>
      <c r="H133" s="67"/>
      <c r="I133" s="67"/>
      <c r="J133" s="67"/>
      <c r="K133" s="67"/>
      <c r="L133" s="67"/>
      <c r="M133" s="67"/>
      <c r="N133" s="67"/>
    </row>
    <row r="134" spans="1:21" x14ac:dyDescent="0.3">
      <c r="A134" s="67"/>
      <c r="B134" s="67"/>
      <c r="C134" s="67"/>
      <c r="D134" s="67"/>
      <c r="E134" s="67"/>
      <c r="F134" s="67"/>
      <c r="G134" s="67"/>
      <c r="H134" s="67"/>
      <c r="I134" s="67"/>
      <c r="J134" s="67"/>
      <c r="K134" s="67"/>
      <c r="L134" s="67"/>
      <c r="M134" s="67"/>
      <c r="N134" s="67"/>
    </row>
    <row r="135" spans="1:21" x14ac:dyDescent="0.3">
      <c r="A135" s="67"/>
      <c r="B135" s="67"/>
      <c r="C135" s="67"/>
      <c r="D135" s="67"/>
      <c r="E135" s="67"/>
      <c r="F135" s="67"/>
      <c r="G135" s="67"/>
      <c r="H135" s="67"/>
      <c r="I135" s="67"/>
      <c r="J135" s="67"/>
      <c r="K135" s="67"/>
      <c r="L135" s="67"/>
      <c r="M135" s="67"/>
      <c r="N135" s="67"/>
    </row>
    <row r="136" spans="1:21" x14ac:dyDescent="0.3">
      <c r="A136" s="67"/>
      <c r="B136" s="67"/>
      <c r="C136" s="67"/>
      <c r="D136" s="67"/>
      <c r="E136" s="67"/>
      <c r="F136" s="67"/>
      <c r="G136" s="67"/>
      <c r="H136" s="67"/>
      <c r="I136" s="67"/>
      <c r="J136" s="67"/>
      <c r="K136" s="67"/>
      <c r="L136" s="67"/>
      <c r="M136" s="67"/>
      <c r="N136" s="67"/>
    </row>
    <row r="137" spans="1:21" x14ac:dyDescent="0.3">
      <c r="A137" s="67"/>
      <c r="B137" s="67"/>
      <c r="C137" s="67"/>
      <c r="D137" s="67"/>
      <c r="E137" s="67"/>
      <c r="F137" s="67"/>
      <c r="G137" s="67"/>
      <c r="H137" s="67"/>
      <c r="I137" s="67"/>
      <c r="J137" s="67"/>
      <c r="K137" s="67"/>
      <c r="L137" s="67"/>
      <c r="M137" s="67"/>
      <c r="N137" s="67"/>
    </row>
    <row r="138" spans="1:21" x14ac:dyDescent="0.3">
      <c r="A138" s="67"/>
      <c r="B138" s="67"/>
      <c r="C138" s="67"/>
      <c r="D138" s="67"/>
      <c r="E138" s="67"/>
      <c r="F138" s="67"/>
      <c r="G138" s="67"/>
      <c r="H138" s="67"/>
      <c r="I138" s="67"/>
      <c r="J138" s="67"/>
      <c r="K138" s="67"/>
      <c r="L138" s="67"/>
      <c r="M138" s="67"/>
      <c r="N138" s="67"/>
    </row>
    <row r="139" spans="1:21" x14ac:dyDescent="0.3">
      <c r="A139" s="67"/>
      <c r="B139" s="67"/>
      <c r="C139" s="67"/>
      <c r="D139" s="67"/>
      <c r="E139" s="67"/>
      <c r="F139" s="67"/>
      <c r="G139" s="67"/>
      <c r="H139" s="67"/>
      <c r="I139" s="67"/>
      <c r="J139" s="67"/>
      <c r="K139" s="67"/>
      <c r="L139" s="67"/>
      <c r="M139" s="67"/>
      <c r="N139" s="67"/>
    </row>
    <row r="140" spans="1:21" x14ac:dyDescent="0.3">
      <c r="A140" s="67"/>
      <c r="B140" s="67"/>
      <c r="C140" s="67"/>
      <c r="D140" s="67"/>
      <c r="E140" s="67"/>
      <c r="F140" s="67"/>
      <c r="G140" s="67"/>
      <c r="H140" s="67"/>
      <c r="I140" s="67"/>
      <c r="J140" s="67"/>
      <c r="K140" s="67"/>
      <c r="L140" s="67"/>
      <c r="M140" s="67"/>
      <c r="N140" s="67"/>
    </row>
    <row r="141" spans="1:21" x14ac:dyDescent="0.3">
      <c r="A141" s="67"/>
      <c r="B141" s="67"/>
      <c r="C141" s="67"/>
      <c r="D141" s="67"/>
      <c r="E141" s="67"/>
      <c r="F141" s="67"/>
      <c r="G141" s="67"/>
      <c r="H141" s="67"/>
      <c r="I141" s="67"/>
      <c r="J141" s="67"/>
      <c r="K141" s="67"/>
      <c r="L141" s="67"/>
      <c r="M141" s="67"/>
      <c r="N141" s="67"/>
    </row>
    <row r="142" spans="1:21" x14ac:dyDescent="0.3">
      <c r="A142" s="67"/>
      <c r="B142" s="67"/>
      <c r="C142" s="67"/>
      <c r="D142" s="67"/>
      <c r="E142" s="67"/>
      <c r="F142" s="67"/>
      <c r="G142" s="67"/>
      <c r="H142" s="67"/>
      <c r="I142" s="67"/>
      <c r="J142" s="67"/>
      <c r="K142" s="67"/>
      <c r="L142" s="67"/>
      <c r="M142" s="67"/>
      <c r="N142" s="67"/>
    </row>
    <row r="143" spans="1:21" x14ac:dyDescent="0.3">
      <c r="A143" s="67"/>
      <c r="B143" s="67"/>
      <c r="C143" s="67"/>
      <c r="D143" s="67"/>
      <c r="E143" s="67"/>
      <c r="F143" s="67"/>
      <c r="G143" s="67"/>
      <c r="H143" s="67"/>
      <c r="I143" s="67"/>
      <c r="J143" s="67"/>
      <c r="K143" s="67"/>
      <c r="L143" s="67"/>
      <c r="M143" s="67"/>
      <c r="N143" s="67"/>
    </row>
    <row r="144" spans="1:21" x14ac:dyDescent="0.3">
      <c r="A144" s="67"/>
      <c r="B144" s="72" t="s">
        <v>116</v>
      </c>
      <c r="C144" s="72"/>
      <c r="D144" s="72"/>
      <c r="E144" s="72"/>
      <c r="F144" s="72" t="s">
        <v>117</v>
      </c>
      <c r="G144" s="72"/>
      <c r="H144" s="72"/>
      <c r="I144" s="72"/>
      <c r="J144" s="72"/>
      <c r="K144" s="72" t="s">
        <v>118</v>
      </c>
      <c r="L144" s="72"/>
      <c r="M144" s="67"/>
      <c r="N144" s="67"/>
      <c r="P144" s="72" t="s">
        <v>117</v>
      </c>
      <c r="U144" s="72" t="s">
        <v>118</v>
      </c>
    </row>
    <row r="145" spans="1:21" x14ac:dyDescent="0.3">
      <c r="A145" s="67"/>
      <c r="B145" s="67"/>
      <c r="C145" s="67"/>
      <c r="D145" s="67"/>
      <c r="E145" s="67"/>
      <c r="F145" s="67" t="s">
        <v>119</v>
      </c>
      <c r="G145" s="67"/>
      <c r="H145" s="67"/>
      <c r="I145" s="67"/>
      <c r="J145" s="67"/>
      <c r="K145" s="67" t="s">
        <v>120</v>
      </c>
      <c r="L145" s="67"/>
      <c r="M145" s="67"/>
      <c r="N145" s="67"/>
      <c r="P145" t="s">
        <v>454</v>
      </c>
      <c r="U145" t="s">
        <v>455</v>
      </c>
    </row>
    <row r="146" spans="1:21" x14ac:dyDescent="0.3">
      <c r="A146" s="67"/>
      <c r="B146" s="67"/>
      <c r="C146" s="67"/>
      <c r="D146" s="67"/>
      <c r="E146" s="67"/>
      <c r="F146" s="67" t="s">
        <v>121</v>
      </c>
      <c r="G146" s="67"/>
      <c r="H146" s="67"/>
      <c r="I146" s="67"/>
      <c r="J146" s="67"/>
      <c r="K146" s="67" t="s">
        <v>122</v>
      </c>
      <c r="L146" s="67"/>
      <c r="M146" s="67"/>
      <c r="N146" s="67"/>
    </row>
    <row r="147" spans="1:21" x14ac:dyDescent="0.3">
      <c r="A147" s="67"/>
      <c r="B147" s="67"/>
      <c r="C147" s="67"/>
      <c r="D147" s="67"/>
      <c r="E147" s="67"/>
      <c r="F147" s="67" t="s">
        <v>123</v>
      </c>
      <c r="G147" s="67"/>
      <c r="H147" s="67"/>
      <c r="I147" s="67"/>
      <c r="J147" s="67"/>
      <c r="K147" s="67" t="s">
        <v>124</v>
      </c>
      <c r="L147" s="67"/>
      <c r="M147" s="67"/>
      <c r="N147" s="67"/>
    </row>
    <row r="148" spans="1:21" x14ac:dyDescent="0.3">
      <c r="A148" s="67"/>
      <c r="B148" s="67"/>
      <c r="C148" s="67"/>
      <c r="D148" s="67"/>
      <c r="E148" s="67"/>
      <c r="F148" s="67"/>
      <c r="G148" s="67"/>
      <c r="H148" s="67"/>
      <c r="I148" s="67"/>
      <c r="J148" s="67"/>
      <c r="K148" s="67" t="s">
        <v>125</v>
      </c>
      <c r="L148" s="67"/>
      <c r="M148" s="67"/>
      <c r="N148" s="67"/>
    </row>
    <row r="149" spans="1:21" x14ac:dyDescent="0.3">
      <c r="A149" s="67"/>
      <c r="B149" s="67"/>
      <c r="C149" s="67"/>
      <c r="D149" s="67"/>
      <c r="E149" s="67"/>
      <c r="F149" s="67"/>
      <c r="G149" s="67"/>
      <c r="H149" s="67"/>
      <c r="I149" s="67"/>
      <c r="J149" s="67"/>
      <c r="K149" s="67" t="s">
        <v>126</v>
      </c>
      <c r="L149" s="67"/>
      <c r="M149" s="67"/>
      <c r="N149" s="67"/>
    </row>
    <row r="150" spans="1:21" x14ac:dyDescent="0.3">
      <c r="A150" s="67"/>
      <c r="B150" s="67"/>
      <c r="C150" s="67"/>
      <c r="D150" s="67"/>
      <c r="E150" s="67"/>
      <c r="F150" s="67"/>
      <c r="G150" s="67"/>
      <c r="H150" s="67"/>
      <c r="I150" s="67"/>
      <c r="J150" s="67"/>
      <c r="K150" s="67" t="s">
        <v>127</v>
      </c>
      <c r="L150" s="67"/>
      <c r="M150" s="67"/>
      <c r="N150" s="67"/>
    </row>
    <row r="151" spans="1:21" x14ac:dyDescent="0.3">
      <c r="A151" s="67"/>
      <c r="B151" s="67"/>
      <c r="C151" s="67"/>
      <c r="D151" s="67"/>
      <c r="E151" s="67"/>
      <c r="F151" s="67"/>
      <c r="G151" s="67"/>
      <c r="H151" s="67"/>
      <c r="I151" s="67"/>
      <c r="J151" s="67"/>
      <c r="K151" s="67" t="s">
        <v>128</v>
      </c>
      <c r="L151" s="67"/>
      <c r="M151" s="67"/>
      <c r="N151" s="67"/>
    </row>
    <row r="152" spans="1:21" x14ac:dyDescent="0.3">
      <c r="A152" s="67"/>
      <c r="B152" s="67"/>
      <c r="C152" s="67"/>
      <c r="D152" s="67"/>
      <c r="E152" s="67"/>
      <c r="F152" s="67"/>
      <c r="G152" s="67"/>
      <c r="H152" s="67"/>
      <c r="I152" s="67"/>
      <c r="J152" s="67"/>
      <c r="K152" s="67" t="s">
        <v>129</v>
      </c>
      <c r="L152" s="67"/>
      <c r="M152" s="67"/>
      <c r="N152" s="67"/>
    </row>
    <row r="153" spans="1:21" x14ac:dyDescent="0.3">
      <c r="A153" s="67"/>
      <c r="B153" s="67"/>
      <c r="C153" s="67"/>
      <c r="D153" s="67"/>
      <c r="E153" s="67"/>
      <c r="F153" s="67"/>
      <c r="G153" s="67"/>
      <c r="H153" s="67"/>
      <c r="I153" s="67"/>
      <c r="J153" s="67"/>
      <c r="K153" s="400" t="s">
        <v>130</v>
      </c>
      <c r="L153" s="400"/>
      <c r="M153" s="400"/>
      <c r="N153" s="67"/>
    </row>
    <row r="154" spans="1:21" ht="63.6" customHeight="1" x14ac:dyDescent="0.3">
      <c r="A154" s="67"/>
      <c r="B154" s="67"/>
      <c r="C154" s="67"/>
      <c r="D154" s="67"/>
      <c r="E154" s="67"/>
      <c r="F154" s="67"/>
      <c r="G154" s="67"/>
      <c r="H154" s="67"/>
      <c r="I154" s="67"/>
      <c r="J154" s="67"/>
      <c r="K154" s="400"/>
      <c r="L154" s="400"/>
      <c r="M154" s="400"/>
      <c r="N154" s="67"/>
    </row>
    <row r="155" spans="1:21" x14ac:dyDescent="0.3">
      <c r="A155" s="67"/>
      <c r="B155" s="67"/>
      <c r="C155" s="67"/>
      <c r="D155" s="67"/>
      <c r="E155" s="67"/>
      <c r="F155" s="67"/>
      <c r="G155" s="67"/>
      <c r="H155" s="67"/>
      <c r="I155" s="67"/>
      <c r="J155" s="67"/>
      <c r="K155" s="67"/>
      <c r="L155" s="67"/>
      <c r="M155" s="67"/>
      <c r="N155" s="67"/>
    </row>
    <row r="156" spans="1:21" x14ac:dyDescent="0.3">
      <c r="A156" s="67"/>
      <c r="B156" s="67"/>
      <c r="C156" s="67"/>
      <c r="D156" s="67"/>
      <c r="E156" s="67"/>
      <c r="F156" s="67"/>
      <c r="G156" s="67"/>
      <c r="H156" s="67"/>
      <c r="I156" s="67"/>
      <c r="J156" s="67"/>
      <c r="K156" s="67"/>
      <c r="L156" s="67"/>
      <c r="M156" s="67"/>
      <c r="N156" s="67"/>
    </row>
    <row r="157" spans="1:21" x14ac:dyDescent="0.3">
      <c r="B157" t="s">
        <v>146</v>
      </c>
      <c r="F157" t="s">
        <v>149</v>
      </c>
      <c r="J157" t="s">
        <v>155</v>
      </c>
      <c r="Q157" t="s">
        <v>159</v>
      </c>
    </row>
    <row r="158" spans="1:21" x14ac:dyDescent="0.3">
      <c r="B158" t="s">
        <v>154</v>
      </c>
      <c r="F158" t="s">
        <v>150</v>
      </c>
      <c r="J158" t="s">
        <v>156</v>
      </c>
      <c r="Q158" t="s">
        <v>160</v>
      </c>
    </row>
    <row r="159" spans="1:21" x14ac:dyDescent="0.3">
      <c r="B159" t="s">
        <v>145</v>
      </c>
      <c r="F159" t="s">
        <v>151</v>
      </c>
      <c r="J159" t="s">
        <v>152</v>
      </c>
      <c r="Q159" t="s">
        <v>161</v>
      </c>
    </row>
    <row r="160" spans="1:21" x14ac:dyDescent="0.3">
      <c r="B160" t="s">
        <v>147</v>
      </c>
      <c r="F160" t="s">
        <v>152</v>
      </c>
      <c r="J160" t="s">
        <v>157</v>
      </c>
      <c r="Q160" t="s">
        <v>162</v>
      </c>
    </row>
    <row r="161" spans="2:17" x14ac:dyDescent="0.3">
      <c r="B161" t="s">
        <v>148</v>
      </c>
      <c r="F161" t="s">
        <v>153</v>
      </c>
      <c r="J161" t="s">
        <v>158</v>
      </c>
      <c r="Q161" t="s">
        <v>163</v>
      </c>
    </row>
    <row r="162" spans="2:17" x14ac:dyDescent="0.3">
      <c r="F162" t="s">
        <v>154</v>
      </c>
      <c r="J162" t="s">
        <v>145</v>
      </c>
      <c r="Q162" t="s">
        <v>164</v>
      </c>
    </row>
    <row r="163" spans="2:17" x14ac:dyDescent="0.3">
      <c r="F163" t="s">
        <v>145</v>
      </c>
      <c r="J163" t="s">
        <v>147</v>
      </c>
    </row>
    <row r="164" spans="2:17" x14ac:dyDescent="0.3">
      <c r="F164" t="s">
        <v>147</v>
      </c>
      <c r="J164" t="s">
        <v>148</v>
      </c>
    </row>
    <row r="165" spans="2:17" x14ac:dyDescent="0.3">
      <c r="F165" t="s">
        <v>148</v>
      </c>
    </row>
    <row r="166" spans="2:17" x14ac:dyDescent="0.3">
      <c r="B166">
        <v>1</v>
      </c>
      <c r="F166">
        <v>3</v>
      </c>
      <c r="J166">
        <v>2</v>
      </c>
      <c r="Q166">
        <v>4</v>
      </c>
    </row>
    <row r="207" spans="2:2" x14ac:dyDescent="0.3">
      <c r="B207" t="s">
        <v>169</v>
      </c>
    </row>
    <row r="208" spans="2:2" x14ac:dyDescent="0.3">
      <c r="B208" t="s">
        <v>165</v>
      </c>
    </row>
    <row r="209" spans="2:2" x14ac:dyDescent="0.3">
      <c r="B209" t="s">
        <v>166</v>
      </c>
    </row>
    <row r="211" spans="2:2" x14ac:dyDescent="0.3">
      <c r="B211" t="s">
        <v>167</v>
      </c>
    </row>
    <row r="212" spans="2:2" x14ac:dyDescent="0.3">
      <c r="B212" t="s">
        <v>168</v>
      </c>
    </row>
  </sheetData>
  <mergeCells count="1">
    <mergeCell ref="K153:M154"/>
  </mergeCells>
  <hyperlinks>
    <hyperlink ref="B119" r:id="rId1" xr:uid="{F69FD6D9-1547-4A30-9A3D-67B5D4D045E5}"/>
  </hyperlinks>
  <pageMargins left="0.7" right="0.7" top="0.75" bottom="0.75" header="0.3" footer="0.3"/>
  <pageSetup paperSize="9" scale="72" orientation="portrait" horizontalDpi="300" verticalDpi="3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5C2890-2A9E-447C-9CDF-4EC34DC882CC}">
  <sheetPr>
    <tabColor rgb="FF002060"/>
  </sheetPr>
  <dimension ref="A1"/>
  <sheetViews>
    <sheetView topLeftCell="A16" workbookViewId="0">
      <selection activeCell="F18" sqref="F18"/>
    </sheetView>
  </sheetViews>
  <sheetFormatPr defaultRowHeight="14.4" x14ac:dyDescent="0.3"/>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7F6216-7CFF-4F17-A808-136668A2EFBB}">
  <dimension ref="B2:F26"/>
  <sheetViews>
    <sheetView zoomScaleNormal="100" workbookViewId="0">
      <selection activeCell="C15" sqref="C14:G15"/>
    </sheetView>
  </sheetViews>
  <sheetFormatPr defaultRowHeight="14.4" x14ac:dyDescent="0.3"/>
  <cols>
    <col min="3" max="3" width="57.33203125" customWidth="1"/>
    <col min="4" max="4" width="14.33203125" customWidth="1"/>
  </cols>
  <sheetData>
    <row r="2" spans="2:6" x14ac:dyDescent="0.3">
      <c r="B2" t="s">
        <v>178</v>
      </c>
    </row>
    <row r="3" spans="2:6" x14ac:dyDescent="0.3">
      <c r="B3" t="s">
        <v>205</v>
      </c>
      <c r="C3" t="s">
        <v>181</v>
      </c>
      <c r="D3" t="s">
        <v>171</v>
      </c>
      <c r="E3" t="s">
        <v>204</v>
      </c>
      <c r="F3" t="s">
        <v>197</v>
      </c>
    </row>
    <row r="4" spans="2:6" x14ac:dyDescent="0.3">
      <c r="B4" t="s">
        <v>203</v>
      </c>
      <c r="C4" t="s">
        <v>184</v>
      </c>
      <c r="D4" t="s">
        <v>173</v>
      </c>
      <c r="E4" t="s">
        <v>211</v>
      </c>
    </row>
    <row r="5" spans="2:6" x14ac:dyDescent="0.3">
      <c r="B5" t="s">
        <v>203</v>
      </c>
      <c r="C5" t="s">
        <v>182</v>
      </c>
      <c r="D5" t="s">
        <v>174</v>
      </c>
      <c r="E5" t="s">
        <v>212</v>
      </c>
    </row>
    <row r="6" spans="2:6" x14ac:dyDescent="0.3">
      <c r="B6" t="s">
        <v>203</v>
      </c>
      <c r="C6" t="s">
        <v>179</v>
      </c>
      <c r="D6" t="s">
        <v>172</v>
      </c>
      <c r="E6" t="s">
        <v>212</v>
      </c>
    </row>
    <row r="7" spans="2:6" x14ac:dyDescent="0.3">
      <c r="B7" t="s">
        <v>201</v>
      </c>
      <c r="C7" t="s">
        <v>180</v>
      </c>
      <c r="D7" t="s">
        <v>183</v>
      </c>
      <c r="E7" t="s">
        <v>213</v>
      </c>
    </row>
    <row r="8" spans="2:6" x14ac:dyDescent="0.3">
      <c r="B8" t="s">
        <v>201</v>
      </c>
      <c r="C8" t="s">
        <v>185</v>
      </c>
      <c r="D8" t="s">
        <v>173</v>
      </c>
    </row>
    <row r="9" spans="2:6" x14ac:dyDescent="0.3">
      <c r="B9" t="s">
        <v>201</v>
      </c>
      <c r="C9" t="s">
        <v>186</v>
      </c>
      <c r="D9" t="s">
        <v>174</v>
      </c>
    </row>
    <row r="10" spans="2:6" x14ac:dyDescent="0.3">
      <c r="B10" t="s">
        <v>201</v>
      </c>
      <c r="C10" t="s">
        <v>187</v>
      </c>
      <c r="D10" t="s">
        <v>217</v>
      </c>
      <c r="E10" t="s">
        <v>190</v>
      </c>
    </row>
    <row r="11" spans="2:6" x14ac:dyDescent="0.3">
      <c r="B11" t="s">
        <v>201</v>
      </c>
      <c r="C11" t="s">
        <v>188</v>
      </c>
      <c r="D11" t="s">
        <v>174</v>
      </c>
      <c r="E11" t="s">
        <v>191</v>
      </c>
    </row>
    <row r="12" spans="2:6" x14ac:dyDescent="0.3">
      <c r="B12" t="s">
        <v>201</v>
      </c>
      <c r="C12" t="s">
        <v>189</v>
      </c>
      <c r="D12" t="s">
        <v>217</v>
      </c>
      <c r="E12" t="s">
        <v>191</v>
      </c>
    </row>
    <row r="13" spans="2:6" x14ac:dyDescent="0.3">
      <c r="B13" t="s">
        <v>201</v>
      </c>
      <c r="C13" t="s">
        <v>193</v>
      </c>
      <c r="D13" t="s">
        <v>174</v>
      </c>
      <c r="E13" t="s">
        <v>192</v>
      </c>
    </row>
    <row r="14" spans="2:6" x14ac:dyDescent="0.3">
      <c r="B14" t="s">
        <v>201</v>
      </c>
      <c r="C14" t="s">
        <v>194</v>
      </c>
      <c r="D14" t="s">
        <v>173</v>
      </c>
      <c r="E14" t="s">
        <v>192</v>
      </c>
    </row>
    <row r="15" spans="2:6" x14ac:dyDescent="0.3">
      <c r="B15" t="s">
        <v>201</v>
      </c>
      <c r="C15" t="s">
        <v>195</v>
      </c>
      <c r="D15" t="s">
        <v>196</v>
      </c>
      <c r="E15" t="s">
        <v>192</v>
      </c>
      <c r="F15" t="s">
        <v>198</v>
      </c>
    </row>
    <row r="16" spans="2:6" x14ac:dyDescent="0.3">
      <c r="B16" t="s">
        <v>202</v>
      </c>
      <c r="C16" t="s">
        <v>200</v>
      </c>
      <c r="D16" t="s">
        <v>174</v>
      </c>
      <c r="E16" t="s">
        <v>211</v>
      </c>
      <c r="F16" t="s">
        <v>199</v>
      </c>
    </row>
    <row r="17" spans="2:6" x14ac:dyDescent="0.3">
      <c r="B17" t="s">
        <v>202</v>
      </c>
      <c r="C17" t="s">
        <v>206</v>
      </c>
      <c r="D17" t="s">
        <v>174</v>
      </c>
      <c r="E17" t="s">
        <v>211</v>
      </c>
      <c r="F17" t="s">
        <v>199</v>
      </c>
    </row>
    <row r="18" spans="2:6" x14ac:dyDescent="0.3">
      <c r="B18" t="s">
        <v>202</v>
      </c>
      <c r="C18" t="s">
        <v>207</v>
      </c>
      <c r="D18" t="s">
        <v>174</v>
      </c>
      <c r="E18" t="s">
        <v>211</v>
      </c>
      <c r="F18" t="s">
        <v>199</v>
      </c>
    </row>
    <row r="19" spans="2:6" x14ac:dyDescent="0.3">
      <c r="B19" t="s">
        <v>210</v>
      </c>
      <c r="C19" t="s">
        <v>208</v>
      </c>
      <c r="D19" t="s">
        <v>174</v>
      </c>
      <c r="E19" t="s">
        <v>211</v>
      </c>
    </row>
    <row r="20" spans="2:6" x14ac:dyDescent="0.3">
      <c r="B20" t="s">
        <v>210</v>
      </c>
      <c r="C20" t="s">
        <v>209</v>
      </c>
      <c r="D20" t="s">
        <v>174</v>
      </c>
      <c r="E20" t="s">
        <v>211</v>
      </c>
    </row>
    <row r="25" spans="2:6" x14ac:dyDescent="0.3">
      <c r="B25" t="s">
        <v>214</v>
      </c>
    </row>
    <row r="26" spans="2:6" x14ac:dyDescent="0.3">
      <c r="B26">
        <v>1</v>
      </c>
      <c r="C26" t="s">
        <v>215</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EB89C6-4AA8-46F0-91A8-BD694004A823}">
  <sheetPr>
    <tabColor theme="8" tint="-0.249977111117893"/>
  </sheetPr>
  <dimension ref="A1:Q32"/>
  <sheetViews>
    <sheetView zoomScale="85" zoomScaleNormal="85" workbookViewId="0">
      <selection activeCell="F23" sqref="A10:F23"/>
    </sheetView>
  </sheetViews>
  <sheetFormatPr defaultRowHeight="14.4" x14ac:dyDescent="0.3"/>
  <cols>
    <col min="2" max="2" width="32.5546875" customWidth="1"/>
    <col min="3" max="3" width="11.6640625" customWidth="1"/>
    <col min="10" max="10" width="9.88671875" customWidth="1"/>
  </cols>
  <sheetData>
    <row r="1" spans="1:17" x14ac:dyDescent="0.3">
      <c r="A1" s="171" t="s">
        <v>364</v>
      </c>
      <c r="B1" s="171" t="s">
        <v>214</v>
      </c>
      <c r="C1" s="171" t="s">
        <v>365</v>
      </c>
      <c r="D1" s="171" t="s">
        <v>366</v>
      </c>
      <c r="E1" s="171" t="s">
        <v>367</v>
      </c>
      <c r="I1" s="401" t="s">
        <v>368</v>
      </c>
      <c r="J1" s="266" t="s">
        <v>171</v>
      </c>
      <c r="K1" s="266" t="s">
        <v>205</v>
      </c>
      <c r="L1" s="266" t="s">
        <v>139</v>
      </c>
      <c r="M1" s="266" t="s">
        <v>140</v>
      </c>
      <c r="N1" s="266" t="s">
        <v>141</v>
      </c>
      <c r="O1" s="266" t="s">
        <v>142</v>
      </c>
      <c r="P1" s="266" t="s">
        <v>143</v>
      </c>
      <c r="Q1" s="266" t="s">
        <v>144</v>
      </c>
    </row>
    <row r="2" spans="1:17" x14ac:dyDescent="0.3">
      <c r="A2" s="66" t="s">
        <v>139</v>
      </c>
      <c r="B2" s="66" t="s">
        <v>369</v>
      </c>
      <c r="C2" s="66" t="s">
        <v>174</v>
      </c>
      <c r="D2" s="66">
        <v>3500</v>
      </c>
      <c r="E2" s="66">
        <f>'[11]Opt 1-pipe'!$AB$21</f>
        <v>5760.5825000000004</v>
      </c>
      <c r="I2" s="401"/>
      <c r="J2" s="267" t="s">
        <v>174</v>
      </c>
      <c r="K2" s="268">
        <v>3500</v>
      </c>
      <c r="L2" s="269">
        <f t="shared" ref="L2:Q16" si="0">SUMIFS($E:$E,$D:$D,$K2,$C:$C,$J2,$A:$A,L$1)</f>
        <v>5760.5825000000004</v>
      </c>
      <c r="M2" s="269">
        <f t="shared" si="0"/>
        <v>0</v>
      </c>
      <c r="N2" s="269">
        <f t="shared" si="0"/>
        <v>0</v>
      </c>
      <c r="O2" s="269">
        <f t="shared" si="0"/>
        <v>0</v>
      </c>
      <c r="P2" s="269">
        <f t="shared" si="0"/>
        <v>0</v>
      </c>
      <c r="Q2" s="269">
        <f t="shared" si="0"/>
        <v>0</v>
      </c>
    </row>
    <row r="3" spans="1:17" x14ac:dyDescent="0.3">
      <c r="A3" s="66" t="s">
        <v>139</v>
      </c>
      <c r="B3" s="66" t="s">
        <v>370</v>
      </c>
      <c r="C3" s="66" t="s">
        <v>172</v>
      </c>
      <c r="D3" s="66">
        <v>3500</v>
      </c>
      <c r="E3" s="66">
        <f>'[11]Opt 1-pipe'!$AB$22</f>
        <v>5913.7100000000009</v>
      </c>
      <c r="I3" s="401"/>
      <c r="J3" s="270" t="s">
        <v>174</v>
      </c>
      <c r="K3" s="268">
        <v>2500</v>
      </c>
      <c r="L3" s="269">
        <f t="shared" si="0"/>
        <v>1213.3199999999997</v>
      </c>
      <c r="M3" s="269">
        <f t="shared" si="0"/>
        <v>10547.540300000001</v>
      </c>
      <c r="N3" s="269">
        <f t="shared" si="0"/>
        <v>11066.832500000004</v>
      </c>
      <c r="O3" s="269">
        <f t="shared" si="0"/>
        <v>14893.784500000003</v>
      </c>
      <c r="P3" s="269">
        <f t="shared" si="0"/>
        <v>0</v>
      </c>
      <c r="Q3" s="269">
        <f t="shared" si="0"/>
        <v>4104.2300000000005</v>
      </c>
    </row>
    <row r="4" spans="1:17" x14ac:dyDescent="0.3">
      <c r="A4" s="66" t="s">
        <v>139</v>
      </c>
      <c r="B4" s="66" t="s">
        <v>371</v>
      </c>
      <c r="C4" s="66" t="s">
        <v>174</v>
      </c>
      <c r="D4" s="66">
        <v>2500</v>
      </c>
      <c r="E4" s="66">
        <f>'[11]Opt 1-pipe'!$AB$23</f>
        <v>1213.3199999999997</v>
      </c>
      <c r="I4" s="401"/>
      <c r="J4" s="270" t="s">
        <v>174</v>
      </c>
      <c r="K4" s="268">
        <v>1800</v>
      </c>
      <c r="L4" s="269">
        <f t="shared" si="0"/>
        <v>0</v>
      </c>
      <c r="M4" s="269">
        <f t="shared" si="0"/>
        <v>0</v>
      </c>
      <c r="N4" s="269">
        <f t="shared" si="0"/>
        <v>0</v>
      </c>
      <c r="O4" s="269">
        <f t="shared" si="0"/>
        <v>0</v>
      </c>
      <c r="P4" s="269">
        <f t="shared" si="0"/>
        <v>240.56</v>
      </c>
      <c r="Q4" s="269">
        <f t="shared" si="0"/>
        <v>0</v>
      </c>
    </row>
    <row r="5" spans="1:17" x14ac:dyDescent="0.3">
      <c r="A5" s="66" t="s">
        <v>139</v>
      </c>
      <c r="B5" s="66" t="s">
        <v>372</v>
      </c>
      <c r="C5" s="66" t="s">
        <v>173</v>
      </c>
      <c r="D5" s="66">
        <v>2500</v>
      </c>
      <c r="E5" s="66">
        <f>'[11]Opt 1-pipe'!$AB$24</f>
        <v>2818.31</v>
      </c>
      <c r="I5" s="401"/>
      <c r="J5" s="270" t="s">
        <v>174</v>
      </c>
      <c r="K5" s="268">
        <v>1500</v>
      </c>
      <c r="L5" s="269">
        <f t="shared" si="0"/>
        <v>0</v>
      </c>
      <c r="M5" s="269">
        <f t="shared" si="0"/>
        <v>0</v>
      </c>
      <c r="N5" s="269">
        <f t="shared" si="0"/>
        <v>0</v>
      </c>
      <c r="O5" s="269">
        <f t="shared" si="0"/>
        <v>0</v>
      </c>
      <c r="P5" s="269">
        <f t="shared" si="0"/>
        <v>0</v>
      </c>
      <c r="Q5" s="269">
        <f t="shared" si="0"/>
        <v>854.41</v>
      </c>
    </row>
    <row r="6" spans="1:17" x14ac:dyDescent="0.3">
      <c r="A6" t="s">
        <v>140</v>
      </c>
      <c r="B6" t="s">
        <v>373</v>
      </c>
      <c r="C6" t="s">
        <v>174</v>
      </c>
      <c r="D6">
        <v>2500</v>
      </c>
      <c r="E6">
        <f>'[11]Opt 2-pipe'!$AB$15</f>
        <v>7200.06</v>
      </c>
      <c r="I6" s="401"/>
      <c r="J6" s="270" t="s">
        <v>174</v>
      </c>
      <c r="K6" s="268">
        <v>1200</v>
      </c>
      <c r="L6" s="269">
        <f t="shared" si="0"/>
        <v>0</v>
      </c>
      <c r="M6" s="269">
        <f t="shared" si="0"/>
        <v>0</v>
      </c>
      <c r="N6" s="269">
        <f t="shared" si="0"/>
        <v>0</v>
      </c>
      <c r="O6" s="269">
        <f t="shared" si="0"/>
        <v>0</v>
      </c>
      <c r="P6" s="269">
        <f t="shared" si="0"/>
        <v>1047.28</v>
      </c>
      <c r="Q6" s="269">
        <f t="shared" si="0"/>
        <v>1047.28</v>
      </c>
    </row>
    <row r="7" spans="1:17" x14ac:dyDescent="0.3">
      <c r="A7" t="s">
        <v>140</v>
      </c>
      <c r="B7" t="s">
        <v>374</v>
      </c>
      <c r="C7" t="s">
        <v>173</v>
      </c>
      <c r="D7">
        <v>2500</v>
      </c>
      <c r="E7">
        <f>'[11]Opt 2-pipe'!$AB$16</f>
        <v>4356.72</v>
      </c>
      <c r="I7" s="401"/>
      <c r="J7" s="270" t="s">
        <v>174</v>
      </c>
      <c r="K7" s="268">
        <v>900</v>
      </c>
      <c r="L7" s="269">
        <f t="shared" si="0"/>
        <v>0</v>
      </c>
      <c r="M7" s="269">
        <f t="shared" si="0"/>
        <v>0</v>
      </c>
      <c r="N7" s="269">
        <f t="shared" si="0"/>
        <v>0</v>
      </c>
      <c r="O7" s="269">
        <f t="shared" si="0"/>
        <v>0</v>
      </c>
      <c r="P7" s="269">
        <f t="shared" si="0"/>
        <v>5617.46</v>
      </c>
      <c r="Q7" s="269">
        <f t="shared" si="0"/>
        <v>5858.02</v>
      </c>
    </row>
    <row r="8" spans="1:17" x14ac:dyDescent="0.3">
      <c r="A8" t="s">
        <v>140</v>
      </c>
      <c r="B8" t="s">
        <v>375</v>
      </c>
      <c r="C8" t="s">
        <v>174</v>
      </c>
      <c r="D8">
        <v>2500</v>
      </c>
      <c r="E8">
        <f>'[11]Opt 2-pipe'!$AB$17</f>
        <v>3347.4802999999997</v>
      </c>
      <c r="I8" s="401"/>
      <c r="J8" s="271" t="s">
        <v>174</v>
      </c>
      <c r="K8" s="268">
        <v>600</v>
      </c>
      <c r="L8" s="269">
        <f t="shared" si="0"/>
        <v>0</v>
      </c>
      <c r="M8" s="269">
        <f t="shared" si="0"/>
        <v>0</v>
      </c>
      <c r="N8" s="269">
        <f t="shared" si="0"/>
        <v>0</v>
      </c>
      <c r="O8" s="269">
        <f t="shared" si="0"/>
        <v>0</v>
      </c>
      <c r="P8" s="269">
        <f t="shared" si="0"/>
        <v>0</v>
      </c>
      <c r="Q8" s="269">
        <f t="shared" si="0"/>
        <v>399.78999999999996</v>
      </c>
    </row>
    <row r="9" spans="1:17" x14ac:dyDescent="0.3">
      <c r="A9" t="s">
        <v>140</v>
      </c>
      <c r="B9" t="s">
        <v>376</v>
      </c>
      <c r="C9" t="s">
        <v>173</v>
      </c>
      <c r="D9">
        <v>2500</v>
      </c>
      <c r="E9">
        <f>'[11]Opt 2-pipe'!$AB$18</f>
        <v>5416.1344000000008</v>
      </c>
      <c r="I9" s="401"/>
      <c r="J9" s="272" t="s">
        <v>173</v>
      </c>
      <c r="K9" s="273">
        <v>3500</v>
      </c>
      <c r="L9" s="274">
        <f t="shared" si="0"/>
        <v>0</v>
      </c>
      <c r="M9" s="274">
        <f t="shared" si="0"/>
        <v>0</v>
      </c>
      <c r="N9" s="274">
        <f t="shared" si="0"/>
        <v>0</v>
      </c>
      <c r="O9" s="274">
        <f t="shared" si="0"/>
        <v>0</v>
      </c>
      <c r="P9" s="274">
        <f t="shared" si="0"/>
        <v>0</v>
      </c>
      <c r="Q9" s="274">
        <f t="shared" si="0"/>
        <v>0</v>
      </c>
    </row>
    <row r="10" spans="1:17" x14ac:dyDescent="0.3">
      <c r="A10" s="66" t="s">
        <v>141</v>
      </c>
      <c r="B10" s="66" t="s">
        <v>377</v>
      </c>
      <c r="C10" s="66" t="s">
        <v>174</v>
      </c>
      <c r="D10" s="66">
        <v>2500</v>
      </c>
      <c r="E10" s="66">
        <f>'[11]Opt 3-pipe'!$AB$15</f>
        <v>2897.7600000000011</v>
      </c>
      <c r="I10" s="401"/>
      <c r="J10" s="275" t="s">
        <v>173</v>
      </c>
      <c r="K10" s="273">
        <v>2500</v>
      </c>
      <c r="L10" s="274">
        <f t="shared" si="0"/>
        <v>2818.31</v>
      </c>
      <c r="M10" s="274">
        <f t="shared" si="0"/>
        <v>9772.8544000000002</v>
      </c>
      <c r="N10" s="274">
        <f t="shared" si="0"/>
        <v>8638.7444000000014</v>
      </c>
      <c r="O10" s="274">
        <f t="shared" si="0"/>
        <v>5156.9100000000008</v>
      </c>
      <c r="P10" s="274">
        <f t="shared" si="0"/>
        <v>7600.97</v>
      </c>
      <c r="Q10" s="274">
        <f t="shared" si="0"/>
        <v>2999.1</v>
      </c>
    </row>
    <row r="11" spans="1:17" x14ac:dyDescent="0.3">
      <c r="A11" s="66" t="s">
        <v>141</v>
      </c>
      <c r="B11" s="66" t="s">
        <v>378</v>
      </c>
      <c r="C11" s="66" t="s">
        <v>173</v>
      </c>
      <c r="D11" s="66">
        <v>2500</v>
      </c>
      <c r="E11" s="66">
        <f>'[11]Opt 3-pipe'!$AB$16</f>
        <v>2480.6900000000005</v>
      </c>
      <c r="I11" s="401"/>
      <c r="J11" s="275" t="s">
        <v>173</v>
      </c>
      <c r="K11" s="273">
        <v>1800</v>
      </c>
      <c r="L11" s="274">
        <f t="shared" si="0"/>
        <v>0</v>
      </c>
      <c r="M11" s="274">
        <f t="shared" si="0"/>
        <v>0</v>
      </c>
      <c r="N11" s="274">
        <f t="shared" si="0"/>
        <v>0</v>
      </c>
      <c r="O11" s="274">
        <f t="shared" si="0"/>
        <v>0</v>
      </c>
      <c r="P11" s="274">
        <f t="shared" si="0"/>
        <v>0</v>
      </c>
      <c r="Q11" s="274">
        <f t="shared" si="0"/>
        <v>0</v>
      </c>
    </row>
    <row r="12" spans="1:17" x14ac:dyDescent="0.3">
      <c r="A12" s="66" t="s">
        <v>141</v>
      </c>
      <c r="B12" s="66" t="s">
        <v>379</v>
      </c>
      <c r="C12" s="66" t="s">
        <v>174</v>
      </c>
      <c r="D12" s="66">
        <v>2500</v>
      </c>
      <c r="E12" s="66">
        <f>'[11]Opt 3-pipe'!$AB$17</f>
        <v>3210.8500000000004</v>
      </c>
      <c r="I12" s="401"/>
      <c r="J12" s="275" t="s">
        <v>173</v>
      </c>
      <c r="K12" s="273">
        <v>1500</v>
      </c>
      <c r="L12" s="274">
        <f t="shared" si="0"/>
        <v>0</v>
      </c>
      <c r="M12" s="274">
        <f t="shared" si="0"/>
        <v>0</v>
      </c>
      <c r="N12" s="274">
        <f t="shared" si="0"/>
        <v>0</v>
      </c>
      <c r="O12" s="274">
        <f t="shared" si="0"/>
        <v>0</v>
      </c>
      <c r="P12" s="274">
        <f t="shared" si="0"/>
        <v>0</v>
      </c>
      <c r="Q12" s="274">
        <f t="shared" si="0"/>
        <v>0</v>
      </c>
    </row>
    <row r="13" spans="1:17" x14ac:dyDescent="0.3">
      <c r="A13" s="66" t="s">
        <v>141</v>
      </c>
      <c r="B13" s="66" t="s">
        <v>380</v>
      </c>
      <c r="C13" s="66" t="s">
        <v>173</v>
      </c>
      <c r="D13" s="66">
        <v>2500</v>
      </c>
      <c r="E13" s="66">
        <f>'[11]Opt 3-pipe'!$AB$18</f>
        <v>789.79</v>
      </c>
      <c r="I13" s="401"/>
      <c r="J13" s="275" t="s">
        <v>173</v>
      </c>
      <c r="K13" s="273">
        <v>1200</v>
      </c>
      <c r="L13" s="274">
        <f t="shared" si="0"/>
        <v>0</v>
      </c>
      <c r="M13" s="274">
        <f t="shared" si="0"/>
        <v>0</v>
      </c>
      <c r="N13" s="274">
        <f t="shared" si="0"/>
        <v>0</v>
      </c>
      <c r="O13" s="274">
        <f t="shared" si="0"/>
        <v>0</v>
      </c>
      <c r="P13" s="274">
        <f t="shared" si="0"/>
        <v>1028.3399999999999</v>
      </c>
      <c r="Q13" s="274">
        <f t="shared" si="0"/>
        <v>1028.3399999999999</v>
      </c>
    </row>
    <row r="14" spans="1:17" x14ac:dyDescent="0.3">
      <c r="A14" s="66" t="s">
        <v>141</v>
      </c>
      <c r="B14" s="66" t="s">
        <v>381</v>
      </c>
      <c r="C14" s="66" t="s">
        <v>174</v>
      </c>
      <c r="D14" s="66">
        <v>2500</v>
      </c>
      <c r="E14" s="66">
        <f>'[11]Opt 3-pipe'!$AB$19</f>
        <v>4958.2225000000017</v>
      </c>
      <c r="I14" s="401"/>
      <c r="J14" s="275" t="s">
        <v>173</v>
      </c>
      <c r="K14" s="273">
        <v>900</v>
      </c>
      <c r="L14" s="274">
        <f t="shared" si="0"/>
        <v>0</v>
      </c>
      <c r="M14" s="274">
        <f t="shared" si="0"/>
        <v>0</v>
      </c>
      <c r="N14" s="274">
        <f t="shared" si="0"/>
        <v>0</v>
      </c>
      <c r="O14" s="274">
        <f t="shared" si="0"/>
        <v>0</v>
      </c>
      <c r="P14" s="274">
        <f t="shared" si="0"/>
        <v>0</v>
      </c>
      <c r="Q14" s="274">
        <f t="shared" si="0"/>
        <v>0</v>
      </c>
    </row>
    <row r="15" spans="1:17" x14ac:dyDescent="0.3">
      <c r="A15" s="66" t="s">
        <v>141</v>
      </c>
      <c r="B15" s="66" t="s">
        <v>382</v>
      </c>
      <c r="C15" s="66" t="s">
        <v>173</v>
      </c>
      <c r="D15" s="66">
        <v>2500</v>
      </c>
      <c r="E15" s="66">
        <f>'[11]Opt 3-pipe'!$AB$20</f>
        <v>5368.2644000000009</v>
      </c>
      <c r="I15" s="401"/>
      <c r="J15" s="276" t="s">
        <v>173</v>
      </c>
      <c r="K15" s="273">
        <v>600</v>
      </c>
      <c r="L15" s="274">
        <f t="shared" si="0"/>
        <v>0</v>
      </c>
      <c r="M15" s="274">
        <f t="shared" si="0"/>
        <v>0</v>
      </c>
      <c r="N15" s="274">
        <f t="shared" si="0"/>
        <v>0</v>
      </c>
      <c r="O15" s="274">
        <f t="shared" si="0"/>
        <v>0</v>
      </c>
      <c r="P15" s="274">
        <f t="shared" si="0"/>
        <v>0</v>
      </c>
      <c r="Q15" s="274">
        <f t="shared" si="0"/>
        <v>0</v>
      </c>
    </row>
    <row r="16" spans="1:17" x14ac:dyDescent="0.3">
      <c r="A16" t="s">
        <v>142</v>
      </c>
      <c r="B16" t="s">
        <v>383</v>
      </c>
      <c r="C16" t="s">
        <v>174</v>
      </c>
      <c r="D16">
        <v>2500</v>
      </c>
      <c r="E16">
        <f>'[11]Opt 4-pipe'!$AB$15</f>
        <v>2898.0300000000011</v>
      </c>
      <c r="I16" s="401"/>
      <c r="J16" s="277" t="s">
        <v>172</v>
      </c>
      <c r="K16" s="278">
        <v>3500</v>
      </c>
      <c r="L16" s="279">
        <f t="shared" si="0"/>
        <v>5913.7100000000009</v>
      </c>
      <c r="M16" s="279">
        <f t="shared" si="0"/>
        <v>0</v>
      </c>
      <c r="N16" s="279">
        <f t="shared" si="0"/>
        <v>0</v>
      </c>
      <c r="O16" s="279">
        <f t="shared" si="0"/>
        <v>0</v>
      </c>
      <c r="P16" s="279">
        <f t="shared" si="0"/>
        <v>0</v>
      </c>
      <c r="Q16" s="279">
        <f t="shared" si="0"/>
        <v>0</v>
      </c>
    </row>
    <row r="17" spans="1:17" x14ac:dyDescent="0.3">
      <c r="A17" t="s">
        <v>142</v>
      </c>
      <c r="B17" t="s">
        <v>384</v>
      </c>
      <c r="C17" t="s">
        <v>173</v>
      </c>
      <c r="D17">
        <v>2500</v>
      </c>
      <c r="E17">
        <f>'[11]Opt 4-pipe'!$AB$16</f>
        <v>4064.6300000000006</v>
      </c>
      <c r="I17" s="402" t="s">
        <v>331</v>
      </c>
      <c r="J17" s="402"/>
      <c r="K17" s="402"/>
      <c r="L17" s="280">
        <f>SUM(L2:L16)</f>
        <v>15705.922500000001</v>
      </c>
      <c r="M17" s="280">
        <f t="shared" ref="M17:Q17" si="1">SUM(M2:M16)</f>
        <v>20320.394700000001</v>
      </c>
      <c r="N17" s="280">
        <f t="shared" si="1"/>
        <v>19705.576900000007</v>
      </c>
      <c r="O17" s="280">
        <f t="shared" si="1"/>
        <v>20050.694500000005</v>
      </c>
      <c r="P17" s="280">
        <f t="shared" si="1"/>
        <v>15534.61</v>
      </c>
      <c r="Q17" s="280">
        <f t="shared" si="1"/>
        <v>16291.17</v>
      </c>
    </row>
    <row r="18" spans="1:17" x14ac:dyDescent="0.3">
      <c r="A18" t="s">
        <v>142</v>
      </c>
      <c r="B18" t="s">
        <v>385</v>
      </c>
      <c r="C18" t="s">
        <v>174</v>
      </c>
      <c r="D18">
        <v>2500</v>
      </c>
      <c r="E18">
        <f>'[11]Opt 4-pipe'!$AB$17</f>
        <v>10171.584500000003</v>
      </c>
    </row>
    <row r="19" spans="1:17" x14ac:dyDescent="0.3">
      <c r="A19" t="s">
        <v>142</v>
      </c>
      <c r="B19" t="s">
        <v>386</v>
      </c>
      <c r="C19" t="s">
        <v>173</v>
      </c>
      <c r="D19">
        <v>2500</v>
      </c>
      <c r="E19">
        <f>'[11]Opt 4-pipe'!$AB$18</f>
        <v>1092.28</v>
      </c>
    </row>
    <row r="20" spans="1:17" x14ac:dyDescent="0.3">
      <c r="A20" t="s">
        <v>142</v>
      </c>
      <c r="B20" t="s">
        <v>387</v>
      </c>
      <c r="C20" t="s">
        <v>174</v>
      </c>
      <c r="D20">
        <v>2500</v>
      </c>
      <c r="E20">
        <f>'[11]Opt 4-pipe'!$AB$19</f>
        <v>1824.1699999999998</v>
      </c>
    </row>
    <row r="21" spans="1:17" x14ac:dyDescent="0.3">
      <c r="A21" s="66" t="s">
        <v>143</v>
      </c>
      <c r="B21" s="66" t="s">
        <v>388</v>
      </c>
      <c r="C21" s="66" t="s">
        <v>173</v>
      </c>
      <c r="D21" s="66">
        <v>2500</v>
      </c>
      <c r="E21" s="66">
        <f>'[11]Opt A-pipe'!$AB$23</f>
        <v>7600.97</v>
      </c>
    </row>
    <row r="22" spans="1:17" x14ac:dyDescent="0.3">
      <c r="A22" s="66" t="s">
        <v>143</v>
      </c>
      <c r="B22" s="66" t="s">
        <v>389</v>
      </c>
      <c r="C22" s="66" t="s">
        <v>174</v>
      </c>
      <c r="D22" s="66">
        <v>1200</v>
      </c>
      <c r="E22" s="66">
        <f>'[11]Opt A-pipe'!$AB$24</f>
        <v>1047.28</v>
      </c>
    </row>
    <row r="23" spans="1:17" x14ac:dyDescent="0.3">
      <c r="A23" s="66" t="s">
        <v>143</v>
      </c>
      <c r="B23" s="66" t="s">
        <v>390</v>
      </c>
      <c r="C23" s="66" t="s">
        <v>173</v>
      </c>
      <c r="D23" s="66">
        <v>1200</v>
      </c>
      <c r="E23" s="66">
        <f>'[11]Opt A-pipe'!$AB$25</f>
        <v>1028.3399999999999</v>
      </c>
    </row>
    <row r="24" spans="1:17" x14ac:dyDescent="0.3">
      <c r="A24" s="66" t="s">
        <v>143</v>
      </c>
      <c r="B24" s="66" t="s">
        <v>391</v>
      </c>
      <c r="C24" s="66" t="s">
        <v>174</v>
      </c>
      <c r="D24" s="66">
        <v>1800</v>
      </c>
      <c r="E24" s="66">
        <v>240.56</v>
      </c>
    </row>
    <row r="25" spans="1:17" x14ac:dyDescent="0.3">
      <c r="A25" s="66" t="s">
        <v>143</v>
      </c>
      <c r="B25" s="66" t="s">
        <v>391</v>
      </c>
      <c r="C25" s="66" t="s">
        <v>174</v>
      </c>
      <c r="D25" s="66">
        <v>900</v>
      </c>
      <c r="E25" s="66">
        <v>5617.46</v>
      </c>
    </row>
    <row r="26" spans="1:17" x14ac:dyDescent="0.3">
      <c r="A26" t="s">
        <v>144</v>
      </c>
      <c r="B26" t="s">
        <v>392</v>
      </c>
      <c r="C26" t="s">
        <v>174</v>
      </c>
      <c r="D26">
        <v>2500</v>
      </c>
      <c r="E26">
        <f>'[11]Opt B-pipe'!$AB$24</f>
        <v>4104.2300000000005</v>
      </c>
    </row>
    <row r="27" spans="1:17" x14ac:dyDescent="0.3">
      <c r="A27" t="s">
        <v>144</v>
      </c>
      <c r="B27" t="s">
        <v>393</v>
      </c>
      <c r="C27" t="s">
        <v>173</v>
      </c>
      <c r="D27">
        <v>2500</v>
      </c>
      <c r="E27">
        <f>'[11]Opt B-pipe'!$AB$25</f>
        <v>2999.1</v>
      </c>
    </row>
    <row r="28" spans="1:17" x14ac:dyDescent="0.3">
      <c r="A28" t="s">
        <v>144</v>
      </c>
      <c r="B28" t="s">
        <v>391</v>
      </c>
      <c r="C28" t="s">
        <v>174</v>
      </c>
      <c r="D28">
        <v>1500</v>
      </c>
      <c r="E28">
        <v>854.41</v>
      </c>
    </row>
    <row r="29" spans="1:17" x14ac:dyDescent="0.3">
      <c r="A29" t="s">
        <v>144</v>
      </c>
      <c r="B29" t="s">
        <v>391</v>
      </c>
      <c r="C29" t="s">
        <v>174</v>
      </c>
      <c r="D29">
        <v>900</v>
      </c>
      <c r="E29">
        <v>5858.02</v>
      </c>
    </row>
    <row r="30" spans="1:17" x14ac:dyDescent="0.3">
      <c r="A30" t="s">
        <v>144</v>
      </c>
      <c r="B30" t="s">
        <v>391</v>
      </c>
      <c r="C30" t="s">
        <v>174</v>
      </c>
      <c r="D30">
        <v>600</v>
      </c>
      <c r="E30">
        <v>399.78999999999996</v>
      </c>
    </row>
    <row r="31" spans="1:17" x14ac:dyDescent="0.3">
      <c r="A31" t="s">
        <v>144</v>
      </c>
      <c r="B31" t="s">
        <v>389</v>
      </c>
      <c r="C31" t="s">
        <v>174</v>
      </c>
      <c r="D31">
        <v>1200</v>
      </c>
      <c r="E31">
        <f>'[11]Opt B-pipe'!$AB$26</f>
        <v>1047.28</v>
      </c>
    </row>
    <row r="32" spans="1:17" x14ac:dyDescent="0.3">
      <c r="A32" t="s">
        <v>144</v>
      </c>
      <c r="B32" t="s">
        <v>390</v>
      </c>
      <c r="C32" t="s">
        <v>173</v>
      </c>
      <c r="D32">
        <v>1200</v>
      </c>
      <c r="E32">
        <f>'[11]Opt B-pipe'!$AB$27</f>
        <v>1028.3399999999999</v>
      </c>
    </row>
  </sheetData>
  <mergeCells count="2">
    <mergeCell ref="I1:I16"/>
    <mergeCell ref="I17:K17"/>
  </mergeCell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033F822CD30E6A4D86477F0E7305D602" ma:contentTypeVersion="16" ma:contentTypeDescription="Create a new document." ma:contentTypeScope="" ma:versionID="7a5c0f32344c2b341957a84fd39fc9d8">
  <xsd:schema xmlns:xsd="http://www.w3.org/2001/XMLSchema" xmlns:xs="http://www.w3.org/2001/XMLSchema" xmlns:p="http://schemas.microsoft.com/office/2006/metadata/properties" xmlns:ns2="50301c98-698f-4fcc-b934-bcb4bd10f79b" xmlns:ns3="9c0c49c5-19ff-4769-bbfc-063d76b7d164" targetNamespace="http://schemas.microsoft.com/office/2006/metadata/properties" ma:root="true" ma:fieldsID="88cc2186d8fdacda077f6ed941efcba2" ns2:_="" ns3:_="">
    <xsd:import namespace="50301c98-698f-4fcc-b934-bcb4bd10f79b"/>
    <xsd:import namespace="9c0c49c5-19ff-4769-bbfc-063d76b7d164"/>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MediaServiceAutoKeyPoints" minOccurs="0"/>
                <xsd:element ref="ns3:MediaServiceKeyPoints" minOccurs="0"/>
                <xsd:element ref="ns3:MediaServiceAutoTags" minOccurs="0"/>
                <xsd:element ref="ns3:MediaServiceOCR" minOccurs="0"/>
                <xsd:element ref="ns3:MediaServiceGenerationTime" minOccurs="0"/>
                <xsd:element ref="ns3:MediaServiceEventHashCode" minOccurs="0"/>
                <xsd:element ref="ns3:MediaServiceDateTaken" minOccurs="0"/>
                <xsd:element ref="ns3:MediaServiceLocation" minOccurs="0"/>
                <xsd:element ref="ns3:MediaLengthInSeconds" minOccurs="0"/>
                <xsd:element ref="ns3:lcf76f155ced4ddcb4097134ff3c332f" minOccurs="0"/>
                <xsd:element ref="ns2:TaxCatchAll"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0301c98-698f-4fcc-b934-bcb4bd10f79b" elementFormDefault="qualified">
    <xsd:import namespace="http://schemas.microsoft.com/office/2006/documentManagement/types"/>
    <xsd:import namespace="http://schemas.microsoft.com/office/infopath/2007/PartnerControls"/>
    <xsd:element name="SharedWithUsers" ma:index="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f3ec6c8b-7041-4de0-a5de-487a080a9ebb}" ma:internalName="TaxCatchAll" ma:showField="CatchAllData" ma:web="50301c98-698f-4fcc-b934-bcb4bd10f79b">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9c0c49c5-19ff-4769-bbfc-063d76b7d164"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MediaServiceAutoKeyPoints" ma:index="12" nillable="true" ma:displayName="MediaServiceAutoKeyPoints" ma:hidden="true" ma:internalName="MediaServiceAutoKeyPoints" ma:readOnly="true">
      <xsd:simpleType>
        <xsd:restriction base="dms:Note"/>
      </xsd:simpleType>
    </xsd:element>
    <xsd:element name="MediaServiceKeyPoints" ma:index="13" nillable="true" ma:displayName="KeyPoints" ma:internalName="MediaServiceKeyPoints" ma:readOnly="true">
      <xsd:simpleType>
        <xsd:restriction base="dms:Note">
          <xsd:maxLength value="255"/>
        </xsd:restriction>
      </xsd:simpleType>
    </xsd:element>
    <xsd:element name="MediaServiceAutoTags" ma:index="14" nillable="true" ma:displayName="Tags" ma:internalName="MediaServiceAutoTags"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DateTaken" ma:index="18" nillable="true" ma:displayName="MediaServiceDateTaken" ma:hidden="true" ma:internalName="MediaServiceDateTaken" ma:readOnly="true">
      <xsd:simpleType>
        <xsd:restriction base="dms:Text"/>
      </xsd:simpleType>
    </xsd:element>
    <xsd:element name="MediaServiceLocation" ma:index="19" nillable="true" ma:displayName="Location" ma:internalName="MediaServiceLocation" ma:readOnly="true">
      <xsd:simpleType>
        <xsd:restriction base="dms:Text"/>
      </xsd:simpleType>
    </xsd:element>
    <xsd:element name="MediaLengthInSeconds" ma:index="20"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f35aeea7-e848-442f-a6c3-04e7a31ee3df" ma:termSetId="09814cd3-568e-fe90-9814-8d621ff8fb84" ma:anchorId="fba54fb3-c3e1-fe81-a776-ca4b69148c4d" ma:open="true" ma:isKeyword="false">
      <xsd:complexType>
        <xsd:sequence>
          <xsd:element ref="pc:Terms" minOccurs="0" maxOccurs="1"/>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TaxCatchAll xmlns="50301c98-698f-4fcc-b934-bcb4bd10f79b" xsi:nil="true"/>
    <lcf76f155ced4ddcb4097134ff3c332f xmlns="9c0c49c5-19ff-4769-bbfc-063d76b7d164">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661BFDB1-AB91-4A20-AC58-A41D280722E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0301c98-698f-4fcc-b934-bcb4bd10f79b"/>
    <ds:schemaRef ds:uri="9c0c49c5-19ff-4769-bbfc-063d76b7d164"/>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A8CA1BE-8DAB-44C0-B73F-AFC254C98D74}">
  <ds:schemaRefs>
    <ds:schemaRef ds:uri="http://schemas.microsoft.com/sharepoint/v3/contenttype/forms"/>
  </ds:schemaRefs>
</ds:datastoreItem>
</file>

<file path=customXml/itemProps3.xml><?xml version="1.0" encoding="utf-8"?>
<ds:datastoreItem xmlns:ds="http://schemas.openxmlformats.org/officeDocument/2006/customXml" ds:itemID="{24218359-BE78-47FF-9179-17223732F515}">
  <ds:schemaRefs>
    <ds:schemaRef ds:uri="50301c98-698f-4fcc-b934-bcb4bd10f79b"/>
    <ds:schemaRef ds:uri="http://schemas.microsoft.com/office/2006/metadata/properties"/>
    <ds:schemaRef ds:uri="http://schemas.microsoft.com/office/2006/documentManagement/types"/>
    <ds:schemaRef ds:uri="http://purl.org/dc/dcmitype/"/>
    <ds:schemaRef ds:uri="http://schemas.microsoft.com/office/infopath/2007/PartnerControls"/>
    <ds:schemaRef ds:uri="9c0c49c5-19ff-4769-bbfc-063d76b7d164"/>
    <ds:schemaRef ds:uri="http://www.w3.org/XML/1998/namespace"/>
    <ds:schemaRef ds:uri="http://purl.org/dc/elements/1.1/"/>
    <ds:schemaRef ds:uri="http://schemas.openxmlformats.org/package/2006/metadata/core-properties"/>
    <ds:schemaRef ds:uri="http://purl.org/dc/te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13</vt:i4>
      </vt:variant>
      <vt:variant>
        <vt:lpstr>Named Ranges</vt:lpstr>
      </vt:variant>
      <vt:variant>
        <vt:i4>3</vt:i4>
      </vt:variant>
    </vt:vector>
  </HeadingPairs>
  <TitlesOfParts>
    <vt:vector size="16" baseType="lpstr">
      <vt:lpstr>MCDA (EB versus OA)</vt:lpstr>
      <vt:lpstr>MCDA v2</vt:lpstr>
      <vt:lpstr>MCDAv1-FebMPR</vt:lpstr>
      <vt:lpstr>MCDA v0</vt:lpstr>
      <vt:lpstr>for MPR3 </vt:lpstr>
      <vt:lpstr>Geohazard</vt:lpstr>
      <vt:lpstr>Construction Duration -&gt;</vt:lpstr>
      <vt:lpstr>Lanes</vt:lpstr>
      <vt:lpstr>TR-OC-TUN-SUMMARY</vt:lpstr>
      <vt:lpstr>Constr. Dur v2</vt:lpstr>
      <vt:lpstr>Constr. Dur v1</vt:lpstr>
      <vt:lpstr>Constr. Dur v0</vt:lpstr>
      <vt:lpstr>Ref-OpenCut (Source-Teresa)</vt:lpstr>
      <vt:lpstr>'Constr. Dur v1'!Print_Area</vt:lpstr>
      <vt:lpstr>'Constr. Dur v2'!Print_Area</vt:lpstr>
      <vt:lpstr>Geohazard!Print_Area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Vlaski, Sasha</dc:creator>
  <cp:keywords/>
  <dc:description/>
  <cp:lastModifiedBy>ADMIN</cp:lastModifiedBy>
  <cp:revision/>
  <dcterms:created xsi:type="dcterms:W3CDTF">2017-11-30T13:46:12Z</dcterms:created>
  <dcterms:modified xsi:type="dcterms:W3CDTF">2023-04-15T10:37:27Z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0x010100033F822CD30E6A4D86477F0E7305D602</vt:lpwstr>
  </property>
  <property fmtid="{D5CDD505-2E9C-101B-9397-08002B2CF9AE}" pid="3" name="MediaServiceImageTags">
    <vt:lpwstr/>
  </property>
</Properties>
</file>